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&amp;D\Producten\04. Spleetroosters\RT\Selection_Tools\"/>
    </mc:Choice>
  </mc:AlternateContent>
  <workbookProtection workbookAlgorithmName="SHA-512" workbookHashValue="40z2XlhZ2diSmEUjq4YNEAFos/595feaGgenDWQ6TPnXNoqfDQbuHfHkPjWRlhan49KR1gc52zzioCzERUnsvA==" workbookSaltValue="WfYalrpHoyglOSif40GlpA==" workbookSpinCount="100000" lockStructure="1"/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E14" i="1"/>
  <c r="F14" i="1"/>
  <c r="G14" i="1"/>
  <c r="H14" i="1"/>
  <c r="D14" i="1"/>
  <c r="F16" i="3" l="1"/>
  <c r="F28" i="3" s="1"/>
  <c r="G16" i="3"/>
  <c r="G28" i="3" s="1"/>
  <c r="F17" i="3"/>
  <c r="G17" i="3"/>
  <c r="F18" i="3"/>
  <c r="G18" i="3"/>
  <c r="F19" i="3"/>
  <c r="G19" i="3"/>
  <c r="F20" i="3"/>
  <c r="G20" i="3"/>
  <c r="F9" i="3"/>
  <c r="F24" i="3" s="1"/>
  <c r="G9" i="3"/>
  <c r="G25" i="3" s="1"/>
  <c r="F10" i="3"/>
  <c r="G10" i="3"/>
  <c r="F11" i="3"/>
  <c r="G11" i="3"/>
  <c r="F12" i="3"/>
  <c r="G12" i="3"/>
  <c r="F13" i="3"/>
  <c r="G13" i="3"/>
  <c r="F2" i="3"/>
  <c r="G2" i="3"/>
  <c r="F3" i="3"/>
  <c r="G3" i="3"/>
  <c r="F4" i="3"/>
  <c r="G4" i="3"/>
  <c r="F5" i="3"/>
  <c r="G5" i="3"/>
  <c r="F6" i="3"/>
  <c r="G6" i="3"/>
  <c r="G11" i="2"/>
  <c r="H11" i="2"/>
  <c r="G12" i="2"/>
  <c r="H12" i="2"/>
  <c r="G10" i="2"/>
  <c r="H10" i="2"/>
  <c r="G8" i="2"/>
  <c r="H8" i="2"/>
  <c r="G29" i="3" l="1"/>
  <c r="F29" i="3"/>
  <c r="F27" i="3"/>
  <c r="F25" i="3"/>
  <c r="G27" i="3"/>
  <c r="G26" i="3"/>
  <c r="G24" i="3"/>
  <c r="F26" i="3"/>
  <c r="B4" i="2" l="1"/>
  <c r="B14" i="2" s="1"/>
  <c r="B13" i="2" l="1"/>
  <c r="D8" i="2"/>
  <c r="E8" i="2"/>
  <c r="F8" i="2"/>
  <c r="C8" i="2"/>
  <c r="B5" i="4" l="1"/>
  <c r="B2" i="4"/>
  <c r="E13" i="2" s="1"/>
  <c r="B9" i="3"/>
  <c r="H13" i="2" l="1"/>
  <c r="G13" i="2"/>
  <c r="G14" i="2"/>
  <c r="H14" i="2"/>
  <c r="C10" i="2"/>
  <c r="D10" i="2"/>
  <c r="E10" i="2"/>
  <c r="F10" i="2"/>
  <c r="D12" i="2"/>
  <c r="E12" i="2"/>
  <c r="F12" i="2"/>
  <c r="C12" i="2"/>
  <c r="A23" i="3"/>
  <c r="C19" i="3"/>
  <c r="D19" i="3"/>
  <c r="E19" i="3"/>
  <c r="B19" i="3"/>
  <c r="C16" i="3"/>
  <c r="D16" i="3"/>
  <c r="E16" i="3"/>
  <c r="C17" i="3"/>
  <c r="D17" i="3"/>
  <c r="E17" i="3"/>
  <c r="C18" i="3"/>
  <c r="D18" i="3"/>
  <c r="E18" i="3"/>
  <c r="C20" i="3"/>
  <c r="D20" i="3"/>
  <c r="E20" i="3"/>
  <c r="B20" i="3"/>
  <c r="B18" i="3"/>
  <c r="B17" i="3"/>
  <c r="B16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B13" i="3"/>
  <c r="B12" i="3"/>
  <c r="B11" i="3"/>
  <c r="B10" i="3"/>
  <c r="B2" i="3"/>
  <c r="C2" i="3"/>
  <c r="D2" i="3"/>
  <c r="E2" i="3"/>
  <c r="B3" i="3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A3" i="3"/>
  <c r="A4" i="3"/>
  <c r="A5" i="3"/>
  <c r="A6" i="3"/>
  <c r="A2" i="3"/>
  <c r="H18" i="2" l="1"/>
  <c r="H20" i="2"/>
  <c r="H22" i="2"/>
  <c r="H24" i="2"/>
  <c r="H19" i="2"/>
  <c r="H21" i="2"/>
  <c r="H23" i="2"/>
  <c r="G18" i="2"/>
  <c r="G20" i="2"/>
  <c r="G22" i="2"/>
  <c r="G24" i="2"/>
  <c r="G19" i="2"/>
  <c r="G21" i="2"/>
  <c r="G23" i="2"/>
  <c r="C14" i="2"/>
  <c r="C13" i="2"/>
  <c r="F13" i="2"/>
  <c r="F14" i="2"/>
  <c r="E14" i="2"/>
  <c r="D14" i="2"/>
  <c r="D13" i="2"/>
  <c r="B27" i="3"/>
  <c r="B24" i="3"/>
  <c r="B25" i="3"/>
  <c r="B26" i="3"/>
  <c r="C24" i="3"/>
  <c r="C27" i="3"/>
  <c r="C26" i="3"/>
  <c r="C25" i="3"/>
  <c r="C28" i="3"/>
  <c r="C29" i="3"/>
  <c r="C11" i="2"/>
  <c r="E11" i="2"/>
  <c r="B29" i="3"/>
  <c r="B28" i="3"/>
  <c r="D11" i="2"/>
  <c r="D27" i="3"/>
  <c r="D25" i="3"/>
  <c r="D24" i="3"/>
  <c r="D26" i="3"/>
  <c r="D28" i="3"/>
  <c r="D29" i="3"/>
  <c r="F11" i="2"/>
  <c r="E29" i="3"/>
  <c r="E26" i="3"/>
  <c r="E24" i="3"/>
  <c r="E27" i="3"/>
  <c r="E28" i="3"/>
  <c r="E25" i="3"/>
  <c r="C18" i="2" l="1"/>
  <c r="C21" i="2"/>
  <c r="C19" i="2"/>
  <c r="D24" i="2"/>
  <c r="E21" i="2"/>
  <c r="F22" i="2"/>
  <c r="D21" i="2"/>
  <c r="F19" i="2"/>
  <c r="C20" i="2"/>
  <c r="C22" i="2"/>
  <c r="F20" i="2"/>
  <c r="F23" i="2"/>
  <c r="C23" i="2"/>
  <c r="E20" i="2"/>
  <c r="E24" i="2"/>
  <c r="D22" i="2"/>
  <c r="F24" i="2"/>
  <c r="E22" i="2"/>
  <c r="E18" i="2"/>
  <c r="C24" i="2"/>
  <c r="E23" i="2"/>
  <c r="F21" i="2"/>
  <c r="D19" i="2"/>
  <c r="D23" i="2"/>
  <c r="E19" i="2"/>
  <c r="D18" i="2"/>
  <c r="D20" i="2"/>
  <c r="F18" i="2"/>
</calcChain>
</file>

<file path=xl/sharedStrings.xml><?xml version="1.0" encoding="utf-8"?>
<sst xmlns="http://schemas.openxmlformats.org/spreadsheetml/2006/main" count="137" uniqueCount="85">
  <si>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</si>
  <si>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</si>
  <si>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</si>
  <si>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</si>
  <si>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</si>
  <si>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</si>
  <si>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</si>
  <si>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</si>
  <si>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</si>
  <si>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</si>
  <si>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</si>
  <si>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</si>
  <si>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</si>
  <si>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</si>
  <si>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</si>
  <si>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</si>
  <si>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</si>
  <si>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</si>
  <si>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</si>
  <si>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</si>
  <si>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</si>
  <si>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</si>
  <si>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</si>
  <si>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</si>
  <si>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</si>
  <si>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</si>
  <si>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</si>
  <si>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</si>
  <si>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</si>
  <si>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</si>
  <si>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</si>
  <si>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</si>
  <si>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</si>
  <si>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</si>
  <si>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</si>
  <si>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</si>
  <si>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</si>
  <si>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</si>
  <si>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</si>
  <si>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</si>
  <si>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</si>
  <si>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</si>
  <si>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</si>
  <si>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</si>
  <si>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</si>
  <si>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</si>
  <si>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</si>
  <si>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</si>
  <si>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</si>
  <si>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</si>
  <si>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</si>
  <si>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diffuser length</t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</si>
  <si>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</si>
  <si>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</si>
  <si>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</si>
  <si>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</si>
  <si>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</si>
  <si>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</si>
  <si>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</si>
  <si>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</si>
  <si>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</si>
  <si>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</si>
  <si>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t>Selection Table RT</t>
  </si>
  <si>
    <t>RT1</t>
  </si>
  <si>
    <t>RT2</t>
  </si>
  <si>
    <t>RT3</t>
  </si>
  <si>
    <t>RT4</t>
  </si>
  <si>
    <t>RT5</t>
  </si>
  <si>
    <t>RT6</t>
  </si>
  <si>
    <t>RP--1</t>
  </si>
  <si>
    <t>RP--2</t>
  </si>
  <si>
    <t>RP--3</t>
  </si>
  <si>
    <t>RP--4</t>
  </si>
  <si>
    <t>RP--5</t>
  </si>
  <si>
    <t>RP--6</t>
  </si>
  <si>
    <t>L [mm]</t>
  </si>
  <si>
    <t>Damper Position</t>
  </si>
  <si>
    <t>Plenum</t>
  </si>
  <si>
    <t>100% (open)</t>
  </si>
  <si>
    <t>RT--1</t>
  </si>
  <si>
    <t>RT--2</t>
  </si>
  <si>
    <t>RT--3</t>
  </si>
  <si>
    <t>RT--4</t>
  </si>
  <si>
    <t>RT--5</t>
  </si>
  <si>
    <t>RT--6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</si>
</sst>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/>
    <xf numFmtId="164" fontId="9" fillId="2" borderId="3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9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3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" fillId="3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top"/>
    </xf>
    <xf numFmtId="0" fontId="8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4" borderId="0" xfId="0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I25"/>
  <sheetViews>
    <sheetView tabSelected="1" zoomScale="115" zoomScaleNormal="115" workbookViewId="0">
      <selection activeCell="C2" sqref="C2"/>
    </sheetView>
  </sheetViews>
  <sheetFormatPr defaultRowHeight="15" x14ac:dyDescent="0.25"/>
  <cols>
    <col min="1" max="1" width="26.5703125" customWidth="1"/>
    <col min="2" max="2" width="14.140625" bestFit="1" customWidth="1"/>
    <col min="3" max="8" width="13.5703125" customWidth="1"/>
  </cols>
  <sheetData>
    <row r="1" spans="1:9" ht="21" x14ac:dyDescent="0.35">
      <c r="A1" s="6" t="s">
        <v>62</v>
      </c>
    </row>
    <row r="2" spans="1:9" s="54" customFormat="1" ht="12.75" x14ac:dyDescent="0.2">
      <c r="A2" s="52" t="s">
        <v>16</v>
      </c>
      <c r="B2" s="53" t="s">
        <v>11</v>
      </c>
      <c r="C2" s="62">
        <v>250</v>
      </c>
    </row>
    <row r="3" spans="1:9" s="54" customFormat="1" ht="12.75" x14ac:dyDescent="0.2">
      <c r="A3" s="52" t="s">
        <v>51</v>
      </c>
      <c r="B3" s="53" t="s">
        <v>52</v>
      </c>
      <c r="C3" s="62">
        <v>1000</v>
      </c>
    </row>
    <row r="4" spans="1:9" s="54" customFormat="1" ht="12.75" x14ac:dyDescent="0.2">
      <c r="A4" s="52" t="s">
        <v>59</v>
      </c>
      <c r="B4" s="53" t="str">
        <f>CONCATENATE("[",C5,"]")</f>
        <v>[dB(A)]</v>
      </c>
      <c r="C4" s="62">
        <v>8</v>
      </c>
    </row>
    <row r="5" spans="1:9" s="54" customFormat="1" ht="12.75" x14ac:dyDescent="0.2">
      <c r="A5" s="52" t="s">
        <v>60</v>
      </c>
      <c r="B5" s="53"/>
      <c r="C5" s="62" t="s">
        <v>57</v>
      </c>
    </row>
    <row r="6" spans="1:9" s="54" customFormat="1" ht="8.25" customHeight="1" x14ac:dyDescent="0.2"/>
    <row r="7" spans="1:9" s="54" customFormat="1" ht="23.25" customHeight="1" x14ac:dyDescent="0.2">
      <c r="B7" s="63" t="s">
        <v>19</v>
      </c>
      <c r="C7" s="71" t="s">
        <v>79</v>
      </c>
      <c r="D7" s="71" t="s">
        <v>80</v>
      </c>
      <c r="E7" s="71" t="s">
        <v>81</v>
      </c>
      <c r="F7" s="71" t="s">
        <v>82</v>
      </c>
      <c r="G7" s="71" t="s">
        <v>83</v>
      </c>
      <c r="H7" s="71" t="s">
        <v>84</v>
      </c>
    </row>
    <row r="8" spans="1:9" s="54" customFormat="1" ht="12.75" x14ac:dyDescent="0.2">
      <c r="B8" s="55" t="s">
        <v>75</v>
      </c>
      <c r="C8" s="69">
        <f>IF(ISBLANK(TechData!D3),"",$C$3)</f>
        <v>1000</v>
      </c>
      <c r="D8" s="69">
        <f>IF(ISBLANK(TechData!E3),"",$C$3)</f>
        <v>1000</v>
      </c>
      <c r="E8" s="69">
        <f>IF(ISBLANK(TechData!F3),"",$C$3)</f>
        <v>1000</v>
      </c>
      <c r="F8" s="69">
        <f>IF(ISBLANK(TechData!G3),"",$C$3)</f>
        <v>1000</v>
      </c>
      <c r="G8" s="69">
        <f>IF(ISBLANK(TechData!H3),"",$C$3)</f>
        <v>1000</v>
      </c>
      <c r="H8" s="70">
        <f>IF(ISBLANK(TechData!I3),"",$C$3)</f>
        <v>1000</v>
      </c>
    </row>
    <row r="9" spans="1:9" s="54" customFormat="1" ht="12.75" x14ac:dyDescent="0.2">
      <c r="B9" s="55" t="s">
        <v>76</v>
      </c>
      <c r="C9" s="27" t="s">
        <v>78</v>
      </c>
      <c r="D9" s="27" t="s">
        <v>78</v>
      </c>
      <c r="E9" s="27" t="s">
        <v>78</v>
      </c>
      <c r="F9" s="27" t="s">
        <v>78</v>
      </c>
      <c r="G9" s="27" t="s">
        <v>78</v>
      </c>
      <c r="H9" s="27" t="s">
        <v>78</v>
      </c>
    </row>
    <row r="10" spans="1:9" s="54" customFormat="1" ht="12.75" x14ac:dyDescent="0.2">
      <c r="B10" s="55" t="s">
        <v>77</v>
      </c>
      <c r="C10" s="26" t="str">
        <f>IF(ISBLANK(TechData!D6),"",TechData!D6)</f>
        <v>RP--1</v>
      </c>
      <c r="D10" s="26" t="str">
        <f>IF(ISBLANK(TechData!E6),"",TechData!E6)</f>
        <v>RP--2</v>
      </c>
      <c r="E10" s="26" t="str">
        <f>IF(ISBLANK(TechData!F6),"",TechData!F6)</f>
        <v>RP--3</v>
      </c>
      <c r="F10" s="27" t="str">
        <f>IF(ISBLANK(TechData!G6),"",TechData!G6)</f>
        <v>RP--4</v>
      </c>
      <c r="G10" s="27" t="str">
        <f>IF(ISBLANK(TechData!H6),"",TechData!H6)</f>
        <v>RP--5</v>
      </c>
      <c r="H10" s="27" t="str">
        <f>IF(ISBLANK(TechData!I6),"",TechData!I6)</f>
        <v>RP--6</v>
      </c>
    </row>
    <row r="11" spans="1:9" s="54" customFormat="1" ht="14.25" x14ac:dyDescent="0.25">
      <c r="A11" s="56" t="s">
        <v>47</v>
      </c>
      <c r="B11" s="53" t="s">
        <v>12</v>
      </c>
      <c r="C11" s="57">
        <f>IF(C7="","",IF(ISBLANK(TechData!D12),"-",IF(((SelectionData!$C$2/$C$3*1000)/TechData!D12)^(1/TechData!D13)&lt;1,"&lt;1",((SelectionData!$C$2/$C$3*1000)/TechData!D12)^(1/TechData!D13))))</f>
        <v>91.701713751866222</v>
      </c>
      <c r="D11" s="57">
        <f>IF(D7="","",IF(ISBLANK(TechData!E12),"-",IF(((SelectionData!$C$2/$C$3*1000)/TechData!E12)^(1/TechData!E13)&lt;1,"&lt;1",((SelectionData!$C$2/$C$3*1000)/TechData!E12)^(1/TechData!E13))))</f>
        <v>23.36962602810744</v>
      </c>
      <c r="E11" s="57">
        <f>IF(E7="","",IF(ISBLANK(TechData!F12),"-",IF(((SelectionData!$C$2/$C$3*1000)/TechData!F12)^(1/TechData!F13)&lt;1,"&lt;1",((SelectionData!$C$2/$C$3*1000)/TechData!F12)^(1/TechData!F13))))</f>
        <v>10.241856385183066</v>
      </c>
      <c r="F11" s="57">
        <f>IF(F7="","",IF(ISBLANK(TechData!G12),"-",IF(((SelectionData!$C$2/$C$3*1000)/TechData!G12)^(1/TechData!G13)&lt;1,"&lt;1",((SelectionData!$C$2/$C$3*1000)/TechData!G12)^(1/TechData!G13))))</f>
        <v>5.6622223929468847</v>
      </c>
      <c r="G11" s="57">
        <f>IF(G7="","",IF(ISBLANK(TechData!H12),"-",IF(((SelectionData!$C$2/$C$3*1000)/TechData!H12)^(1/TechData!H13)&lt;1,"&lt;1",((SelectionData!$C$2/$C$3*1000)/TechData!H12)^(1/TechData!H13))))</f>
        <v>3.5642860781123384</v>
      </c>
      <c r="H11" s="57">
        <f>IF(H7="","",IF(ISBLANK(TechData!I12),"-",IF(((SelectionData!$C$2/$C$3*1000)/TechData!I12)^(1/TechData!I13)&lt;1,"&lt;1",((SelectionData!$C$2/$C$3*1000)/TechData!I12)^(1/TechData!I13))))</f>
        <v>2.4379353748890966</v>
      </c>
      <c r="I11" s="68"/>
    </row>
    <row r="12" spans="1:9" s="54" customFormat="1" ht="14.25" x14ac:dyDescent="0.25">
      <c r="A12" s="56" t="s">
        <v>48</v>
      </c>
      <c r="B12" s="53" t="s">
        <v>12</v>
      </c>
      <c r="C12" s="57">
        <f>IF(C7="","",IF(ISBLANK(TechData!D12),"-",IF(((SelectionData!$C$2/$C$3*1000)/TechData!D12)^(1/TechData!D13)+0.5*1.2*((SelectionData!$C$2/$C$3*1000)/3600/IF($C$3&lt;=1600,TechData!D14,2*TechData!D14))^2&lt;1,"&lt;1",((SelectionData!$C$2/$C$3*1000)/TechData!D12)^(1/TechData!D13)+0.5*1.2*((SelectionData!$C$2/$C$3*1000)/3600/IF($C$3&lt;=1600,TechData!D14,2*TechData!D14))^2)))</f>
        <v>110.91521227959842</v>
      </c>
      <c r="D12" s="57">
        <f>IF(D7="","",IF(ISBLANK(TechData!E12),"-",IF(((SelectionData!$C$2/$C$3*1000)/TechData!E12)^(1/TechData!E13)+0.5*1.2*((SelectionData!$C$2/$C$3*1000)/3600/IF($C$3&lt;=1600,TechData!E14,2*TechData!E14))^2&lt;1,"&lt;1",((SelectionData!$C$2/$C$3*1000)/TechData!E12)^(1/TechData!E13)+0.5*1.2*((SelectionData!$C$2/$C$3*1000)/3600/IF($C$3&lt;=1600,TechData!E14,2*TechData!E14))^2)))</f>
        <v>30.527211994594744</v>
      </c>
      <c r="E12" s="57">
        <f>IF(E7="","",IF(ISBLANK(TechData!F12),"-",IF(((SelectionData!$C$2/$C$3*1000)/TechData!F12)^(1/TechData!F13)+0.5*1.2*((SelectionData!$C$2/$C$3*1000)/3600/IF($C$3&lt;=1600,TechData!F14,2*TechData!F14))^2&lt;1,"&lt;1",((SelectionData!$C$2/$C$3*1000)/TechData!F12)^(1/TechData!F13)+0.5*1.2*((SelectionData!$C$2/$C$3*1000)/3600/IF($C$3&lt;=1600,TechData!F14,2*TechData!F14))^2)))</f>
        <v>17.39944235167037</v>
      </c>
      <c r="F12" s="57">
        <f>IF(F7="","",IF(ISBLANK(TechData!G12),"-",IF(((SelectionData!$C$2/$C$3*1000)/TechData!G12)^(1/TechData!G13)+0.5*1.2*((SelectionData!$C$2/$C$3*1000)/3600/IF($C$3&lt;=1600,TechData!G14,2*TechData!G14))^2&lt;1,"&lt;1",((SelectionData!$C$2/$C$3*1000)/TechData!G12)^(1/TechData!G13)+0.5*1.2*((SelectionData!$C$2/$C$3*1000)/3600/IF($C$3&lt;=1600,TechData!G14,2*TechData!G14))^2)))</f>
        <v>8.5939696048200833</v>
      </c>
      <c r="G12" s="57">
        <f>IF(G7="","",IF(ISBLANK(TechData!H12),"-",IF(((SelectionData!$C$2/$C$3*1000)/TechData!H12)^(1/TechData!H13)+0.5*1.2*((SelectionData!$C$2/$C$3*1000)/3600/IF($C$3&lt;=1600,TechData!H14,2*TechData!H14))^2&lt;1,"&lt;1",((SelectionData!$C$2/$C$3*1000)/TechData!H12)^(1/TechData!H13)+0.5*1.2*((SelectionData!$C$2/$C$3*1000)/3600/IF($C$3&lt;=1600,TechData!H14,2*TechData!H14))^2)))</f>
        <v>4.7651297360956013</v>
      </c>
      <c r="H12" s="57">
        <f>IF(H7="","",IF(ISBLANK(TechData!I12),"-",IF(((SelectionData!$C$2/$C$3*1000)/TechData!I12)^(1/TechData!I13)+0.5*1.2*((SelectionData!$C$2/$C$3*1000)/3600/IF($C$3&lt;=1600,TechData!I14,2*TechData!I14))^2&lt;1,"&lt;1",((SelectionData!$C$2/$C$3*1000)/TechData!I12)^(1/TechData!I13)+0.5*1.2*((SelectionData!$C$2/$C$3*1000)/3600/IF($C$3&lt;=1600,TechData!I14,2*TechData!I14))^2)))</f>
        <v>2.9143710660836213</v>
      </c>
      <c r="I12" s="68"/>
    </row>
    <row r="13" spans="1:9" s="54" customFormat="1" ht="14.25" x14ac:dyDescent="0.25">
      <c r="A13" s="56" t="s">
        <v>49</v>
      </c>
      <c r="B13" s="53" t="str">
        <f>B4</f>
        <v>[dB(A)]</v>
      </c>
      <c r="C13" s="57">
        <f>IF($C$5="NR",IF(C7="","",IF(ISBLANK(TechData!D31),"-",IF(TechData!D31*LN((SelectionData!$C$2/$C$3*1000))+TechData!D32+CorrectionFactors!$B$2&lt;15,"&lt;15",IF(TechData!D31*LN((SelectionData!$C$2/$C$3*1000))+TechData!D32+CorrectionFactors!$B$2&gt;50,"&gt;50",TechData!D31*LN((SelectionData!$C$2/$C$3*1000))+TechData!D32+CorrectionFactors!$B$2)))),IF(C7="","",IF(ISBLANK(TechData!D34),"-",IF(TechData!D34*LN((SelectionData!$C$2/$C$3*1000))+TechData!D35+CorrectionFactors!$B$2&lt;20,"&lt;20",IF(TechData!D34*LN((SelectionData!$C$2/$C$3*1000))+TechData!D35+CorrectionFactors!$B$2&gt;55,"&gt;55",TechData!D34*LN((SelectionData!$C$2/$C$3*1000))+TechData!D35+CorrectionFactors!$B$2)))))</f>
        <v>47.674171230858057</v>
      </c>
      <c r="D13" s="57">
        <f>IF($C$5="NR",IF(D7="","",IF(ISBLANK(TechData!E31),"-",IF(TechData!E31*LN((SelectionData!$C$2/$C$3*1000))+TechData!E32+CorrectionFactors!$B$2&lt;15,"&lt;15",IF(TechData!E31*LN((SelectionData!$C$2/$C$3*1000))+TechData!E32+CorrectionFactors!$B$2&gt;50,"&gt;50",TechData!E31*LN((SelectionData!$C$2/$C$3*1000))+TechData!E32+CorrectionFactors!$B$2)))),IF(D7="","",IF(ISBLANK(TechData!E34),"-",IF(TechData!E34*LN((SelectionData!$C$2/$C$3*1000))+TechData!E35+CorrectionFactors!$B$2&lt;20,"&lt;20",IF(TechData!E34*LN((SelectionData!$C$2/$C$3*1000))+TechData!E35+CorrectionFactors!$B$2&gt;55,"&gt;55",TechData!E34*LN((SelectionData!$C$2/$C$3*1000))+TechData!E35+CorrectionFactors!$B$2)))))</f>
        <v>28.842463088145298</v>
      </c>
      <c r="E13" s="57" t="str">
        <f>IF($C$5="NR",IF(E7="","",IF(ISBLANK(TechData!F31),"-",IF(TechData!F31*LN((SelectionData!$C$2/$C$3*1000))+TechData!F32+CorrectionFactors!$B$2&lt;15,"&lt;15",IF(TechData!F31*LN((SelectionData!$C$2/$C$3*1000))+TechData!F32+CorrectionFactors!$B$2&gt;50,"&gt;50",TechData!F31*LN((SelectionData!$C$2/$C$3*1000))+TechData!F32+CorrectionFactors!$B$2)))),IF(E7="","",IF(ISBLANK(TechData!F34),"-",IF(TechData!F34*LN((SelectionData!$C$2/$C$3*1000))+TechData!F35+CorrectionFactors!$B$2&lt;20,"&lt;20",IF(TechData!F34*LN((SelectionData!$C$2/$C$3*1000))+TechData!F35+CorrectionFactors!$B$2&gt;55,"&gt;55",TechData!F34*LN((SelectionData!$C$2/$C$3*1000))+TechData!F35+CorrectionFactors!$B$2)))))</f>
        <v>&lt;20</v>
      </c>
      <c r="F13" s="57" t="str">
        <f>IF($C$5="NR",IF(F7="","",IF(ISBLANK(TechData!G31),"-",IF(TechData!G31*LN((SelectionData!$C$2/$C$3*1000))+TechData!G32+CorrectionFactors!$B$2&lt;15,"&lt;15",IF(TechData!G31*LN((SelectionData!$C$2/$C$3*1000))+TechData!G32+CorrectionFactors!$B$2&gt;50,"&gt;50",TechData!G31*LN((SelectionData!$C$2/$C$3*1000))+TechData!G32+CorrectionFactors!$B$2)))),IF(F7="","",IF(ISBLANK(TechData!G34),"-",IF(TechData!G34*LN((SelectionData!$C$2/$C$3*1000))+TechData!G35+CorrectionFactors!$B$2&lt;20,"&lt;20",IF(TechData!G34*LN((SelectionData!$C$2/$C$3*1000))+TechData!G35+CorrectionFactors!$B$2&gt;55,"&gt;55",TechData!G34*LN((SelectionData!$C$2/$C$3*1000))+TechData!G35+CorrectionFactors!$B$2)))))</f>
        <v>&lt;20</v>
      </c>
      <c r="G13" s="57" t="str">
        <f>IF($C$5="NR",IF(G7="","",IF(ISBLANK(TechData!H31),"-",IF(TechData!H31*LN((SelectionData!$C$2/$C$3*1000))+TechData!H32+CorrectionFactors!$B$2&lt;15,"&lt;15",IF(TechData!H31*LN((SelectionData!$C$2/$C$3*1000))+TechData!H32+CorrectionFactors!$B$2&gt;50,"&gt;50",TechData!H31*LN((SelectionData!$C$2/$C$3*1000))+TechData!H32+CorrectionFactors!$B$2)))),IF(G7="","",IF(ISBLANK(TechData!H34),"-",IF(TechData!H34*LN((SelectionData!$C$2/$C$3*1000))+TechData!H35+CorrectionFactors!$B$2&lt;20,"&lt;20",IF(TechData!H34*LN((SelectionData!$C$2/$C$3*1000))+TechData!H35+CorrectionFactors!$B$2&gt;55,"&gt;55",TechData!H34*LN((SelectionData!$C$2/$C$3*1000))+TechData!H35+CorrectionFactors!$B$2)))))</f>
        <v>&lt;20</v>
      </c>
      <c r="H13" s="57" t="str">
        <f>IF($C$5="NR",IF(H7="","",IF(ISBLANK(TechData!I31),"-",IF(TechData!I31*LN((SelectionData!$C$2/$C$3*1000))+TechData!I32+CorrectionFactors!$B$2&lt;15,"&lt;15",IF(TechData!I31*LN((SelectionData!$C$2/$C$3*1000))+TechData!I32+CorrectionFactors!$B$2&gt;50,"&gt;50",TechData!I31*LN((SelectionData!$C$2/$C$3*1000))+TechData!I32+CorrectionFactors!$B$2)))),IF(H7="","",IF(ISBLANK(TechData!I34),"-",IF(TechData!I34*LN((SelectionData!$C$2/$C$3*1000))+TechData!I35+CorrectionFactors!$B$2&lt;20,"&lt;20",IF(TechData!I34*LN((SelectionData!$C$2/$C$3*1000))+TechData!I35+CorrectionFactors!$B$2&gt;55,"&gt;55",TechData!I34*LN((SelectionData!$C$2/$C$3*1000))+TechData!I35+CorrectionFactors!$B$2)))))</f>
        <v>&lt;20</v>
      </c>
      <c r="I13" s="68"/>
    </row>
    <row r="14" spans="1:9" s="54" customFormat="1" ht="14.25" x14ac:dyDescent="0.25">
      <c r="A14" s="56" t="s">
        <v>61</v>
      </c>
      <c r="B14" s="53" t="str">
        <f>B4</f>
        <v>[dB(A)]</v>
      </c>
      <c r="C14" s="57">
        <f>IF($C$5="NR",IF(C7="","",IF(ISBLANK(TechData!D31),"-",IF(TechData!D31*LN((SelectionData!$C$2/$C$3*1000))+TechData!D32+CorrectionFactors!$B$2-$C$4&lt;15,"&lt;15",IF(TechData!D31*LN((SelectionData!$C$2/$C$3*1000))+TechData!D32+CorrectionFactors!$B$2-$C$4&gt;50,"&gt;50",TechData!D31*LN((SelectionData!$C$2/$C$3*1000))+TechData!D32+CorrectionFactors!$B$2-$C$4)))),IF(C7="","",IF(ISBLANK(TechData!D34),"-",IF(TechData!D34*LN((SelectionData!$C$2/$C$3*1000))+TechData!D35+CorrectionFactors!$B$2-$C$4&lt;20,"&lt;20",IF(TechData!D34*LN((SelectionData!$C$2/$C$3*1000))+TechData!D35+CorrectionFactors!$B$2-$C$4&gt;55,"&gt;55",TechData!D34*LN((SelectionData!$C$2/$C$3*1000))+TechData!D35+CorrectionFactors!$B$2-$C$4)))))</f>
        <v>39.674171230858057</v>
      </c>
      <c r="D14" s="57">
        <f>IF($C$5="NR",IF(D7="","",IF(ISBLANK(TechData!E31),"-",IF(TechData!E31*LN((SelectionData!$C$2/$C$3*1000))+TechData!E32+CorrectionFactors!$B$2-$C$4&lt;15,"&lt;15",IF(TechData!E31*LN((SelectionData!$C$2/$C$3*1000))+TechData!E32+CorrectionFactors!$B$2-$C$4&gt;50,"&gt;50",TechData!E31*LN((SelectionData!$C$2/$C$3*1000))+TechData!E32+CorrectionFactors!$B$2-$C$4)))),IF(D7="","",IF(ISBLANK(TechData!E34),"-",IF(TechData!E34*LN((SelectionData!$C$2/$C$3*1000))+TechData!E35+CorrectionFactors!$B$2-$C$4&lt;20,"&lt;20",IF(TechData!E34*LN((SelectionData!$C$2/$C$3*1000))+TechData!E35+CorrectionFactors!$B$2-$C$4&gt;55,"&gt;55",TechData!E34*LN((SelectionData!$C$2/$C$3*1000))+TechData!E35+CorrectionFactors!$B$2-$C$4)))))</f>
        <v>20.842463088145298</v>
      </c>
      <c r="E14" s="57" t="str">
        <f>IF($C$5="NR",IF(E7="","",IF(ISBLANK(TechData!F31),"-",IF(TechData!F31*LN((SelectionData!$C$2/$C$3*1000))+TechData!F32+CorrectionFactors!$B$2-$C$4&lt;15,"&lt;15",IF(TechData!F31*LN((SelectionData!$C$2/$C$3*1000))+TechData!F32+CorrectionFactors!$B$2-$C$4&gt;50,"&gt;50",TechData!F31*LN((SelectionData!$C$2/$C$3*1000))+TechData!F32+CorrectionFactors!$B$2-$C$4)))),IF(E7="","",IF(ISBLANK(TechData!F34),"-",IF(TechData!F34*LN((SelectionData!$C$2/$C$3*1000))+TechData!F35+CorrectionFactors!$B$2-$C$4&lt;20,"&lt;20",IF(TechData!F34*LN((SelectionData!$C$2/$C$3*1000))+TechData!F35+CorrectionFactors!$B$2-$C$4&gt;55,"&gt;55",TechData!F34*LN((SelectionData!$C$2/$C$3*1000))+TechData!F35+CorrectionFactors!$B$2-$C$4)))))</f>
        <v>&lt;20</v>
      </c>
      <c r="F14" s="57" t="str">
        <f>IF($C$5="NR",IF(F7="","",IF(ISBLANK(TechData!G31),"-",IF(TechData!G31*LN((SelectionData!$C$2/$C$3*1000))+TechData!G32+CorrectionFactors!$B$2-$C$4&lt;15,"&lt;15",IF(TechData!G31*LN((SelectionData!$C$2/$C$3*1000))+TechData!G32+CorrectionFactors!$B$2-$C$4&gt;50,"&gt;50",TechData!G31*LN((SelectionData!$C$2/$C$3*1000))+TechData!G32+CorrectionFactors!$B$2-$C$4)))),IF(F7="","",IF(ISBLANK(TechData!G34),"-",IF(TechData!G34*LN((SelectionData!$C$2/$C$3*1000))+TechData!G35+CorrectionFactors!$B$2-$C$4&lt;20,"&lt;20",IF(TechData!G34*LN((SelectionData!$C$2/$C$3*1000))+TechData!G35+CorrectionFactors!$B$2-$C$4&gt;55,"&gt;55",TechData!G34*LN((SelectionData!$C$2/$C$3*1000))+TechData!G35+CorrectionFactors!$B$2-$C$4)))))</f>
        <v>&lt;20</v>
      </c>
      <c r="G14" s="57" t="str">
        <f>IF($C$5="NR",IF(G7="","",IF(ISBLANK(TechData!H31),"-",IF(TechData!H31*LN((SelectionData!$C$2/$C$3*1000))+TechData!H32+CorrectionFactors!$B$2-$C$4&lt;15,"&lt;15",IF(TechData!H31*LN((SelectionData!$C$2/$C$3*1000))+TechData!H32+CorrectionFactors!$B$2-$C$4&gt;50,"&gt;50",TechData!H31*LN((SelectionData!$C$2/$C$3*1000))+TechData!H32+CorrectionFactors!$B$2-$C$4)))),IF(G7="","",IF(ISBLANK(TechData!H34),"-",IF(TechData!H34*LN((SelectionData!$C$2/$C$3*1000))+TechData!H35+CorrectionFactors!$B$2-$C$4&lt;20,"&lt;20",IF(TechData!H34*LN((SelectionData!$C$2/$C$3*1000))+TechData!H35+CorrectionFactors!$B$2-$C$4&gt;55,"&gt;55",TechData!H34*LN((SelectionData!$C$2/$C$3*1000))+TechData!H35+CorrectionFactors!$B$2-$C$4)))))</f>
        <v>&lt;20</v>
      </c>
      <c r="H14" s="57" t="str">
        <f>IF($C$5="NR",IF(H7="","",IF(ISBLANK(TechData!I31),"-",IF(TechData!I31*LN((SelectionData!$C$2/$C$3*1000))+TechData!I32+CorrectionFactors!$B$2-$C$4&lt;15,"&lt;15",IF(TechData!I31*LN((SelectionData!$C$2/$C$3*1000))+TechData!I32+CorrectionFactors!$B$2-$C$4&gt;50,"&gt;50",TechData!I31*LN((SelectionData!$C$2/$C$3*1000))+TechData!I32+CorrectionFactors!$B$2-$C$4)))),IF(H7="","",IF(ISBLANK(TechData!I34),"-",IF(TechData!I34*LN((SelectionData!$C$2/$C$3*1000))+TechData!I35+CorrectionFactors!$B$2-$C$4&lt;20,"&lt;20",IF(TechData!I34*LN((SelectionData!$C$2/$C$3*1000))+TechData!I35+CorrectionFactors!$B$2-$C$4&gt;55,"&gt;55",TechData!I34*LN((SelectionData!$C$2/$C$3*1000))+TechData!I35+CorrectionFactors!$B$2-$C$4)))))</f>
        <v>&lt;20</v>
      </c>
      <c r="I14" s="68"/>
    </row>
    <row r="15" spans="1:9" s="54" customFormat="1" ht="9.75" customHeight="1" x14ac:dyDescent="0.2">
      <c r="B15" s="38"/>
    </row>
    <row r="16" spans="1:9" s="54" customFormat="1" ht="12.75" x14ac:dyDescent="0.2">
      <c r="A16" s="59" t="s">
        <v>13</v>
      </c>
      <c r="B16" s="38"/>
    </row>
    <row r="17" spans="1:9" s="54" customFormat="1" ht="14.25" x14ac:dyDescent="0.25">
      <c r="B17" s="38"/>
      <c r="C17" s="72" t="s">
        <v>50</v>
      </c>
      <c r="D17" s="73"/>
      <c r="E17" s="73"/>
      <c r="F17" s="73"/>
      <c r="G17" s="73"/>
      <c r="H17" s="74"/>
    </row>
    <row r="18" spans="1:9" s="54" customFormat="1" ht="12.75" x14ac:dyDescent="0.2">
      <c r="A18" s="52">
        <v>125</v>
      </c>
      <c r="B18" s="53" t="s">
        <v>14</v>
      </c>
      <c r="C18" s="58">
        <f>IF(C7="","",IF(AND(OR(ISNUMBER(C13),ISNUMBER(C14)),SUM(TechData!D37:D50)&lt;&gt;0),IF(TechData!D37*LN((SelectionData!$C$2/$C$3*1000))+TechData!D38+CorrectionFactors!$B$2&lt;=0,"&lt; BGL",TechData!D37*LN((SelectionData!$C$2/$C$3*1000))+TechData!D38+CorrectionFactors!$B$2),"-"))</f>
        <v>57.210082228313446</v>
      </c>
      <c r="D18" s="58">
        <f>IF(D7="","",IF(AND(OR(ISNUMBER(D13),ISNUMBER(D14)),SUM(TechData!E37:E50)&lt;&gt;0),IF(TechData!E37*LN((SelectionData!$C$2/$C$3*1000))+TechData!E38+CorrectionFactors!$B$2&lt;=0,"&lt; BGL",TechData!E37*LN((SelectionData!$C$2/$C$3*1000))+TechData!E38+CorrectionFactors!$B$2),"-"))</f>
        <v>40.025330356818081</v>
      </c>
      <c r="E18" s="58" t="str">
        <f>IF(E7="","",IF(AND(OR(ISNUMBER(E13),ISNUMBER(E14)),SUM(TechData!F37:F50)&lt;&gt;0),IF(TechData!F37*LN((SelectionData!$C$2/$C$3*1000))+TechData!F38+CorrectionFactors!$B$2&lt;=0,"&lt; BGL",TechData!F37*LN((SelectionData!$C$2/$C$3*1000))+TechData!F38+CorrectionFactors!$B$2),"-"))</f>
        <v>-</v>
      </c>
      <c r="F18" s="58" t="str">
        <f>IF(F7="","",IF(AND(OR(ISNUMBER(F13),ISNUMBER(F14)),SUM(TechData!G37:G50)&lt;&gt;0),IF(TechData!G37*LN((SelectionData!$C$2/$C$3*1000))+TechData!G38+CorrectionFactors!$B$2&lt;=0,"&lt; BGL",TechData!G37*LN((SelectionData!$C$2/$C$3*1000))+TechData!G38+CorrectionFactors!$B$2),"-"))</f>
        <v>-</v>
      </c>
      <c r="G18" s="58" t="str">
        <f>IF(G7="","",IF(AND(OR(ISNUMBER(G13),ISNUMBER(G14)),SUM(TechData!H37:H50)&lt;&gt;0),IF(TechData!H37*LN((SelectionData!$C$2/$C$3*1000))+TechData!H38+CorrectionFactors!$B$2&lt;=0,"&lt; BGL",TechData!H37*LN((SelectionData!$C$2/$C$3*1000))+TechData!H38+CorrectionFactors!$B$2),"-"))</f>
        <v>-</v>
      </c>
      <c r="H18" s="58" t="str">
        <f>IF(H7="","",IF(AND(OR(ISNUMBER(H13),ISNUMBER(H14)),SUM(TechData!I37:I50)&lt;&gt;0),IF(TechData!I37*LN((SelectionData!$C$2/$C$3*1000))+TechData!I38+CorrectionFactors!$B$2&lt;=0,"&lt; BGL",TechData!I37*LN((SelectionData!$C$2/$C$3*1000))+TechData!I38+CorrectionFactors!$B$2),"-"))</f>
        <v>-</v>
      </c>
      <c r="I18" s="67"/>
    </row>
    <row r="19" spans="1:9" s="54" customFormat="1" ht="12.75" x14ac:dyDescent="0.2">
      <c r="A19" s="52">
        <v>250</v>
      </c>
      <c r="B19" s="53" t="s">
        <v>14</v>
      </c>
      <c r="C19" s="58">
        <f>IF(C7="","",IF(AND(OR(ISNUMBER(C13),ISNUMBER(C14)),SUM(TechData!D37:D50)&lt;&gt;0),IF(TechData!D39*LN((SelectionData!$C$2/$C$3*1000))+TechData!D40+CorrectionFactors!$B$2&lt;=0,"&lt; BGL",TechData!D39*LN((SelectionData!$C$2/$C$3*1000))+TechData!D40+CorrectionFactors!$B$2),"-"))</f>
        <v>56.3270591261196</v>
      </c>
      <c r="D19" s="58">
        <f>IF(D7="","",IF(AND(OR(ISNUMBER(D13),ISNUMBER(D14)),SUM(TechData!E37:E50)&lt;&gt;0),IF(TechData!E39*LN((SelectionData!$C$2/$C$3*1000))+TechData!E40+CorrectionFactors!$B$2&lt;=0,"&lt; BGL",TechData!E39*LN((SelectionData!$C$2/$C$3*1000))+TechData!E40+CorrectionFactors!$B$2),"-"))</f>
        <v>34.790952336084395</v>
      </c>
      <c r="E19" s="58" t="str">
        <f>IF(E7="","",IF(AND(OR(ISNUMBER(E13),ISNUMBER(E14)),SUM(TechData!F37:F50)&lt;&gt;0),IF(TechData!F39*LN((SelectionData!$C$2/$C$3*1000))+TechData!F40+CorrectionFactors!$B$2&lt;=0,"&lt; BGL",TechData!F39*LN((SelectionData!$C$2/$C$3*1000))+TechData!F40+CorrectionFactors!$B$2),"-"))</f>
        <v>-</v>
      </c>
      <c r="F19" s="58" t="str">
        <f>IF(F7="","",IF(AND(OR(ISNUMBER(F13),ISNUMBER(F14)),SUM(TechData!G37:G50)&lt;&gt;0),IF(TechData!G39*LN((SelectionData!$C$2/$C$3*1000))+TechData!G40+CorrectionFactors!$B$2&lt;=0,"&lt; BGL",TechData!G39*LN((SelectionData!$C$2/$C$3*1000))+TechData!G40+CorrectionFactors!$B$2),"-"))</f>
        <v>-</v>
      </c>
      <c r="G19" s="58" t="str">
        <f>IF(G7="","",IF(AND(OR(ISNUMBER(G13),ISNUMBER(G14)),SUM(TechData!H37:H50)&lt;&gt;0),IF(TechData!H39*LN((SelectionData!$C$2/$C$3*1000))+TechData!H40+CorrectionFactors!$B$2&lt;=0,"&lt; BGL",TechData!H39*LN((SelectionData!$C$2/$C$3*1000))+TechData!H40+CorrectionFactors!$B$2),"-"))</f>
        <v>-</v>
      </c>
      <c r="H19" s="58" t="str">
        <f>IF(H7="","",IF(AND(OR(ISNUMBER(H13),ISNUMBER(H14)),SUM(TechData!I37:I50)&lt;&gt;0),IF(TechData!I39*LN((SelectionData!$C$2/$C$3*1000))+TechData!I40+CorrectionFactors!$B$2&lt;=0,"&lt; BGL",TechData!I39*LN((SelectionData!$C$2/$C$3*1000))+TechData!I40+CorrectionFactors!$B$2),"-"))</f>
        <v>-</v>
      </c>
      <c r="I19" s="67"/>
    </row>
    <row r="20" spans="1:9" s="54" customFormat="1" ht="12.75" x14ac:dyDescent="0.2">
      <c r="A20" s="52">
        <v>500</v>
      </c>
      <c r="B20" s="53" t="s">
        <v>14</v>
      </c>
      <c r="C20" s="58">
        <f>IF(C7="","",IF(AND(OR(ISNUMBER(C13),ISNUMBER(C14)),SUM(TechData!D37:D50)&lt;&gt;0),IF(TechData!D41*LN((SelectionData!$C$2/$C$3*1000))+TechData!D42+CorrectionFactors!$B$2&lt;=0,"&lt; BGL",TechData!D41*LN((SelectionData!$C$2/$C$3*1000))+TechData!D42+CorrectionFactors!$B$2),"-"))</f>
        <v>43.899166932839826</v>
      </c>
      <c r="D20" s="58">
        <f>IF(D7="","",IF(AND(OR(ISNUMBER(D13),ISNUMBER(D14)),SUM(TechData!E37:E50)&lt;&gt;0),IF(TechData!E41*LN((SelectionData!$C$2/$C$3*1000))+TechData!E42+CorrectionFactors!$B$2&lt;=0,"&lt; BGL",TechData!E41*LN((SelectionData!$C$2/$C$3*1000))+TechData!E42+CorrectionFactors!$B$2),"-"))</f>
        <v>22.805363224823115</v>
      </c>
      <c r="E20" s="58" t="str">
        <f>IF(E7="","",IF(AND(OR(ISNUMBER(E13),ISNUMBER(E14)),SUM(TechData!F37:F50)&lt;&gt;0),IF(TechData!F41*LN((SelectionData!$C$2/$C$3*1000))+TechData!F42+CorrectionFactors!$B$2&lt;=0,"&lt; BGL",TechData!F41*LN((SelectionData!$C$2/$C$3*1000))+TechData!F42+CorrectionFactors!$B$2),"-"))</f>
        <v>-</v>
      </c>
      <c r="F20" s="58" t="str">
        <f>IF(F7="","",IF(AND(OR(ISNUMBER(F13),ISNUMBER(F14)),SUM(TechData!G37:G50)&lt;&gt;0),IF(TechData!G41*LN((SelectionData!$C$2/$C$3*1000))+TechData!G42+CorrectionFactors!$B$2&lt;=0,"&lt; BGL",TechData!G41*LN((SelectionData!$C$2/$C$3*1000))+TechData!G42+CorrectionFactors!$B$2),"-"))</f>
        <v>-</v>
      </c>
      <c r="G20" s="58" t="str">
        <f>IF(G7="","",IF(AND(OR(ISNUMBER(G13),ISNUMBER(G14)),SUM(TechData!H37:H50)&lt;&gt;0),IF(TechData!H41*LN((SelectionData!$C$2/$C$3*1000))+TechData!H42+CorrectionFactors!$B$2&lt;=0,"&lt; BGL",TechData!H41*LN((SelectionData!$C$2/$C$3*1000))+TechData!H42+CorrectionFactors!$B$2),"-"))</f>
        <v>-</v>
      </c>
      <c r="H20" s="58" t="str">
        <f>IF(H7="","",IF(AND(OR(ISNUMBER(H13),ISNUMBER(H14)),SUM(TechData!I37:I50)&lt;&gt;0),IF(TechData!I41*LN((SelectionData!$C$2/$C$3*1000))+TechData!I42+CorrectionFactors!$B$2&lt;=0,"&lt; BGL",TechData!I41*LN((SelectionData!$C$2/$C$3*1000))+TechData!I42+CorrectionFactors!$B$2),"-"))</f>
        <v>-</v>
      </c>
      <c r="I20" s="67"/>
    </row>
    <row r="21" spans="1:9" s="54" customFormat="1" ht="12.75" x14ac:dyDescent="0.2">
      <c r="A21" s="52">
        <v>1000</v>
      </c>
      <c r="B21" s="53" t="s">
        <v>14</v>
      </c>
      <c r="C21" s="58">
        <f>IF(C7="","",IF(AND(OR(ISNUMBER(C13),ISNUMBER(C14)),SUM(TechData!D37:D50)&lt;&gt;0),IF(TechData!D43*LN((SelectionData!$C$2/$C$3*1000))+TechData!D44+CorrectionFactors!$B$2&lt;=0,"&lt; BGL",TechData!D43*LN((SelectionData!$C$2/$C$3*1000))+TechData!D44+CorrectionFactors!$B$2),"-"))</f>
        <v>36.134102650303056</v>
      </c>
      <c r="D21" s="58">
        <f>IF(D7="","",IF(AND(OR(ISNUMBER(D13),ISNUMBER(D14)),SUM(TechData!E37:E50)&lt;&gt;0),IF(TechData!E43*LN((SelectionData!$C$2/$C$3*1000))+TechData!E44+CorrectionFactors!$B$2&lt;=0,"&lt; BGL",TechData!E43*LN((SelectionData!$C$2/$C$3*1000))+TechData!E44+CorrectionFactors!$B$2),"-"))</f>
        <v>16.452423397729294</v>
      </c>
      <c r="E21" s="58" t="str">
        <f>IF(E7="","",IF(AND(OR(ISNUMBER(E13),ISNUMBER(E14)),SUM(TechData!F37:F50)&lt;&gt;0),IF(TechData!F43*LN((SelectionData!$C$2/$C$3*1000))+TechData!F44+CorrectionFactors!$B$2&lt;=0,"&lt; BGL",TechData!F43*LN((SelectionData!$C$2/$C$3*1000))+TechData!F44+CorrectionFactors!$B$2),"-"))</f>
        <v>-</v>
      </c>
      <c r="F21" s="58" t="str">
        <f>IF(F7="","",IF(AND(OR(ISNUMBER(F13),ISNUMBER(F14)),SUM(TechData!G37:G50)&lt;&gt;0),IF(TechData!G43*LN((SelectionData!$C$2/$C$3*1000))+TechData!G44+CorrectionFactors!$B$2&lt;=0,"&lt; BGL",TechData!G43*LN((SelectionData!$C$2/$C$3*1000))+TechData!G44+CorrectionFactors!$B$2),"-"))</f>
        <v>-</v>
      </c>
      <c r="G21" s="58" t="str">
        <f>IF(G7="","",IF(AND(OR(ISNUMBER(G13),ISNUMBER(G14)),SUM(TechData!H37:H50)&lt;&gt;0),IF(TechData!H43*LN((SelectionData!$C$2/$C$3*1000))+TechData!H44+CorrectionFactors!$B$2&lt;=0,"&lt; BGL",TechData!H43*LN((SelectionData!$C$2/$C$3*1000))+TechData!H44+CorrectionFactors!$B$2),"-"))</f>
        <v>-</v>
      </c>
      <c r="H21" s="58" t="str">
        <f>IF(H7="","",IF(AND(OR(ISNUMBER(H13),ISNUMBER(H14)),SUM(TechData!I37:I50)&lt;&gt;0),IF(TechData!I43*LN((SelectionData!$C$2/$C$3*1000))+TechData!I44+CorrectionFactors!$B$2&lt;=0,"&lt; BGL",TechData!I43*LN((SelectionData!$C$2/$C$3*1000))+TechData!I44+CorrectionFactors!$B$2),"-"))</f>
        <v>-</v>
      </c>
      <c r="I21" s="67"/>
    </row>
    <row r="22" spans="1:9" s="54" customFormat="1" ht="12.75" x14ac:dyDescent="0.2">
      <c r="A22" s="52">
        <v>2000</v>
      </c>
      <c r="B22" s="53" t="s">
        <v>14</v>
      </c>
      <c r="C22" s="58">
        <f>IF(C7="","",IF(AND(OR(ISNUMBER(C13),ISNUMBER(C14)),SUM(TechData!D37:D50)&lt;&gt;0),IF(TechData!D45*LN((SelectionData!$C$2/$C$3*1000))+TechData!D46+CorrectionFactors!$B$2&lt;=0,"&lt; BGL",TechData!D45*LN((SelectionData!$C$2/$C$3*1000))+TechData!D46+CorrectionFactors!$B$2),"-"))</f>
        <v>32.552070203539877</v>
      </c>
      <c r="D22" s="58">
        <f>IF(D7="","",IF(AND(OR(ISNUMBER(D13),ISNUMBER(D14)),SUM(TechData!E37:E50)&lt;&gt;0),IF(TechData!E45*LN((SelectionData!$C$2/$C$3*1000))+TechData!E46+CorrectionFactors!$B$2&lt;=0,"&lt; BGL",TechData!E45*LN((SelectionData!$C$2/$C$3*1000))+TechData!E46+CorrectionFactors!$B$2),"-"))</f>
        <v>8.2920945066658511</v>
      </c>
      <c r="E22" s="58" t="str">
        <f>IF(E7="","",IF(AND(OR(ISNUMBER(E13),ISNUMBER(E14)),SUM(TechData!F37:F50)&lt;&gt;0),IF(TechData!F45*LN((SelectionData!$C$2/$C$3*1000))+TechData!F46+CorrectionFactors!$B$2&lt;=0,"&lt; BGL",TechData!F45*LN((SelectionData!$C$2/$C$3*1000))+TechData!F46+CorrectionFactors!$B$2),"-"))</f>
        <v>-</v>
      </c>
      <c r="F22" s="58" t="str">
        <f>IF(F7="","",IF(AND(OR(ISNUMBER(F13),ISNUMBER(F14)),SUM(TechData!G37:G50)&lt;&gt;0),IF(TechData!G45*LN((SelectionData!$C$2/$C$3*1000))+TechData!G46+CorrectionFactors!$B$2&lt;=0,"&lt; BGL",TechData!G45*LN((SelectionData!$C$2/$C$3*1000))+TechData!G46+CorrectionFactors!$B$2),"-"))</f>
        <v>-</v>
      </c>
      <c r="G22" s="58" t="str">
        <f>IF(G7="","",IF(AND(OR(ISNUMBER(G13),ISNUMBER(G14)),SUM(TechData!H37:H50)&lt;&gt;0),IF(TechData!H45*LN((SelectionData!$C$2/$C$3*1000))+TechData!H46+CorrectionFactors!$B$2&lt;=0,"&lt; BGL",TechData!H45*LN((SelectionData!$C$2/$C$3*1000))+TechData!H46+CorrectionFactors!$B$2),"-"))</f>
        <v>-</v>
      </c>
      <c r="H22" s="58" t="str">
        <f>IF(H7="","",IF(AND(OR(ISNUMBER(H13),ISNUMBER(H14)),SUM(TechData!I37:I50)&lt;&gt;0),IF(TechData!I45*LN((SelectionData!$C$2/$C$3*1000))+TechData!I46+CorrectionFactors!$B$2&lt;=0,"&lt; BGL",TechData!I45*LN((SelectionData!$C$2/$C$3*1000))+TechData!I46+CorrectionFactors!$B$2),"-"))</f>
        <v>-</v>
      </c>
      <c r="I22" s="67"/>
    </row>
    <row r="23" spans="1:9" s="54" customFormat="1" ht="12.75" x14ac:dyDescent="0.2">
      <c r="A23" s="52">
        <v>4000</v>
      </c>
      <c r="B23" s="53" t="s">
        <v>14</v>
      </c>
      <c r="C23" s="58" t="str">
        <f>IF(C7="","",IF(AND(OR(ISNUMBER(C13),ISNUMBER(C14)),SUM(TechData!D37:D50)&lt;&gt;0),IF(TechData!D47*LN((SelectionData!$C$2/$C$3*1000))+TechData!D48+CorrectionFactors!$B$2&lt;=0,"&lt; BGL",TechData!D47*LN((SelectionData!$C$2/$C$3*1000))+TechData!D48+CorrectionFactors!$B$2),"-"))</f>
        <v>&lt; BGL</v>
      </c>
      <c r="D23" s="58" t="str">
        <f>IF(D7="","",IF(AND(OR(ISNUMBER(D13),ISNUMBER(D14)),SUM(TechData!E37:E50)&lt;&gt;0),IF(TechData!E47*LN((SelectionData!$C$2/$C$3*1000))+TechData!E48+CorrectionFactors!$B$2&lt;=0,"&lt; BGL",TechData!E47*LN((SelectionData!$C$2/$C$3*1000))+TechData!E48+CorrectionFactors!$B$2),"-"))</f>
        <v>&lt; BGL</v>
      </c>
      <c r="E23" s="58" t="str">
        <f>IF(E7="","",IF(AND(OR(ISNUMBER(E13),ISNUMBER(E14)),SUM(TechData!F37:F50)&lt;&gt;0),IF(TechData!F47*LN((SelectionData!$C$2/$C$3*1000))+TechData!F48+CorrectionFactors!$B$2&lt;=0,"&lt; BGL",TechData!F47*LN((SelectionData!$C$2/$C$3*1000))+TechData!F48+CorrectionFactors!$B$2),"-"))</f>
        <v>-</v>
      </c>
      <c r="F23" s="58" t="str">
        <f>IF(F7="","",IF(AND(OR(ISNUMBER(F13),ISNUMBER(F14)),SUM(TechData!G37:G50)&lt;&gt;0),IF(TechData!G47*LN((SelectionData!$C$2/$C$3*1000))+TechData!G48+CorrectionFactors!$B$2&lt;=0,"&lt; BGL",TechData!G47*LN((SelectionData!$C$2/$C$3*1000))+TechData!G48+CorrectionFactors!$B$2),"-"))</f>
        <v>-</v>
      </c>
      <c r="G23" s="58" t="str">
        <f>IF(G7="","",IF(AND(OR(ISNUMBER(G13),ISNUMBER(G14)),SUM(TechData!H37:H50)&lt;&gt;0),IF(TechData!H47*LN((SelectionData!$C$2/$C$3*1000))+TechData!H48+CorrectionFactors!$B$2&lt;=0,"&lt; BGL",TechData!H47*LN((SelectionData!$C$2/$C$3*1000))+TechData!H48+CorrectionFactors!$B$2),"-"))</f>
        <v>-</v>
      </c>
      <c r="H23" s="58" t="str">
        <f>IF(H7="","",IF(AND(OR(ISNUMBER(H13),ISNUMBER(H14)),SUM(TechData!I37:I50)&lt;&gt;0),IF(TechData!I47*LN((SelectionData!$C$2/$C$3*1000))+TechData!I48+CorrectionFactors!$B$2&lt;=0,"&lt; BGL",TechData!I47*LN((SelectionData!$C$2/$C$3*1000))+TechData!I48+CorrectionFactors!$B$2),"-"))</f>
        <v>-</v>
      </c>
      <c r="I23" s="67"/>
    </row>
    <row r="24" spans="1:9" s="54" customFormat="1" ht="12.75" x14ac:dyDescent="0.2">
      <c r="A24" s="52">
        <v>8000</v>
      </c>
      <c r="B24" s="53" t="s">
        <v>14</v>
      </c>
      <c r="C24" s="58" t="str">
        <f>IF(C7="","",IF(AND(OR(ISNUMBER(C13),ISNUMBER(C14)),SUM(TechData!D37:D50)&lt;&gt;0),IF(TechData!D49*LN((SelectionData!$C$2/$C$3*1000))+TechData!D50+CorrectionFactors!$B$2&lt;=0,"&lt; BGL",TechData!D49*LN((SelectionData!$C$2/$C$3*1000))+TechData!D50+CorrectionFactors!$B$2),"-"))</f>
        <v>&lt; BGL</v>
      </c>
      <c r="D24" s="58" t="str">
        <f>IF(D7="","",IF(AND(OR(ISNUMBER(D13),ISNUMBER(D14)),SUM(TechData!E37:E50)&lt;&gt;0),IF(TechData!E49*LN((SelectionData!$C$2/$C$3*1000))+TechData!E50+CorrectionFactors!$B$2&lt;=0,"&lt; BGL",TechData!E49*LN((SelectionData!$C$2/$C$3*1000))+TechData!E50+CorrectionFactors!$B$2),"-"))</f>
        <v>&lt; BGL</v>
      </c>
      <c r="E24" s="58" t="str">
        <f>IF(E7="","",IF(AND(OR(ISNUMBER(E13),ISNUMBER(E14)),SUM(TechData!F37:F50)&lt;&gt;0),IF(TechData!F49*LN((SelectionData!$C$2/$C$3*1000))+TechData!F50+CorrectionFactors!$B$2&lt;=0,"&lt; BGL",TechData!F49*LN((SelectionData!$C$2/$C$3*1000))+TechData!F50+CorrectionFactors!$B$2),"-"))</f>
        <v>-</v>
      </c>
      <c r="F24" s="58" t="str">
        <f>IF(F7="","",IF(AND(OR(ISNUMBER(F13),ISNUMBER(F14)),SUM(TechData!G37:G50)&lt;&gt;0),IF(TechData!G49*LN((SelectionData!$C$2/$C$3*1000))+TechData!G50+CorrectionFactors!$B$2&lt;=0,"&lt; BGL",TechData!G49*LN((SelectionData!$C$2/$C$3*1000))+TechData!G50+CorrectionFactors!$B$2),"-"))</f>
        <v>-</v>
      </c>
      <c r="G24" s="58" t="str">
        <f>IF(G7="","",IF(AND(OR(ISNUMBER(G13),ISNUMBER(G14)),SUM(TechData!H37:H50)&lt;&gt;0),IF(TechData!H49*LN((SelectionData!$C$2/$C$3*1000))+TechData!H50+CorrectionFactors!$B$2&lt;=0,"&lt; BGL",TechData!H49*LN((SelectionData!$C$2/$C$3*1000))+TechData!H50+CorrectionFactors!$B$2),"-"))</f>
        <v>-</v>
      </c>
      <c r="H24" s="58" t="str">
        <f>IF(H7="","",IF(AND(OR(ISNUMBER(H13),ISNUMBER(H14)),SUM(TechData!I37:I50)&lt;&gt;0),IF(TechData!I49*LN((SelectionData!$C$2/$C$3*1000))+TechData!I50+CorrectionFactors!$B$2&lt;=0,"&lt; BGL",TechData!I49*LN((SelectionData!$C$2/$C$3*1000))+TechData!I50+CorrectionFactors!$B$2),"-"))</f>
        <v>-</v>
      </c>
      <c r="I24" s="67"/>
    </row>
    <row r="25" spans="1:9" x14ac:dyDescent="0.25">
      <c r="A25" s="7" t="s">
        <v>15</v>
      </c>
    </row>
  </sheetData>
  <sheetProtection algorithmName="SHA-512" hashValue="UFEqJq8G3Nm+h8k6JZ0/ZV9al+essCiRMml2Ss8kGGA4s3ayIeecoy26+piNlkE1jlkFHpbFqYc6EC5F/QbmRA==" saltValue="rTDqSb3xbifjxolPKxfgVA==" spinCount="100000" sheet="1" objects="1" scenarios="1"/>
  <dataConsolidate/>
  <mergeCells count="1">
    <mergeCell ref="C17:H17"/>
  </mergeCells>
  <dataValidations count="1">
    <dataValidation type="list" allowBlank="1" showInputMessage="1" showErrorMessage="1" sqref="C5">
      <formula1>units</formula1>
    </dataValidation>
  </dataValidation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2"/>
  <sheetViews>
    <sheetView workbookViewId="0">
      <selection activeCell="F19" sqref="F19"/>
    </sheetView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sheetProtection algorithmName="SHA-512" hashValue="7PDXgNoZ0b7Wz7EX8C9dCbWK6V3Ganqq++1dYRRjJInb4qL9WfNXs8TUbMrszEXwAhcBzbQ739Rnh+qf0O4qpg==" saltValue="GkBkP/KFRrGOiUTKJCq0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I52"/>
  <sheetViews>
    <sheetView zoomScaleNormal="100" workbookViewId="0">
      <selection activeCell="D5" sqref="D5:I5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7" width="19.28515625" style="38" bestFit="1" customWidth="1"/>
    <col min="8" max="9" width="19.28515625" style="38" customWidth="1"/>
  </cols>
  <sheetData>
    <row r="1" spans="1:9" x14ac:dyDescent="0.25">
      <c r="D1" s="75"/>
      <c r="E1" s="75"/>
      <c r="F1" s="75"/>
      <c r="G1" s="75"/>
      <c r="H1" s="66"/>
      <c r="I1" s="66"/>
    </row>
    <row r="2" spans="1:9" ht="45.75" customHeight="1" x14ac:dyDescent="0.25">
      <c r="A2" s="12"/>
      <c r="B2" s="13"/>
      <c r="C2" s="14" t="s">
        <v>19</v>
      </c>
      <c r="D2" s="64" t="s">
        <v>63</v>
      </c>
      <c r="E2" s="64" t="s">
        <v>64</v>
      </c>
      <c r="F2" s="64" t="s">
        <v>65</v>
      </c>
      <c r="G2" s="64" t="s">
        <v>66</v>
      </c>
      <c r="H2" s="64" t="s">
        <v>67</v>
      </c>
      <c r="I2" s="64" t="s">
        <v>68</v>
      </c>
    </row>
    <row r="3" spans="1:9" x14ac:dyDescent="0.25">
      <c r="A3" s="8"/>
      <c r="B3" s="11"/>
      <c r="C3" s="15" t="s">
        <v>20</v>
      </c>
      <c r="D3" s="27">
        <v>1000</v>
      </c>
      <c r="E3" s="27">
        <v>1000</v>
      </c>
      <c r="F3" s="27">
        <v>1000</v>
      </c>
      <c r="G3" s="27">
        <v>1000</v>
      </c>
      <c r="H3" s="27">
        <v>1000</v>
      </c>
      <c r="I3" s="27">
        <v>1000</v>
      </c>
    </row>
    <row r="4" spans="1:9" x14ac:dyDescent="0.25">
      <c r="A4" s="8"/>
      <c r="B4" s="11"/>
      <c r="C4" s="15" t="s">
        <v>21</v>
      </c>
      <c r="D4" s="26">
        <v>125</v>
      </c>
      <c r="E4" s="26">
        <v>160</v>
      </c>
      <c r="F4" s="26">
        <v>160</v>
      </c>
      <c r="G4" s="26">
        <v>200</v>
      </c>
      <c r="H4" s="26">
        <v>250</v>
      </c>
      <c r="I4" s="27">
        <v>315</v>
      </c>
    </row>
    <row r="5" spans="1:9" x14ac:dyDescent="0.25">
      <c r="A5" s="8"/>
      <c r="B5" s="11"/>
      <c r="C5" s="15" t="s">
        <v>22</v>
      </c>
      <c r="D5" s="27" t="s">
        <v>78</v>
      </c>
      <c r="E5" s="27" t="s">
        <v>78</v>
      </c>
      <c r="F5" s="27" t="s">
        <v>78</v>
      </c>
      <c r="G5" s="27" t="s">
        <v>78</v>
      </c>
      <c r="H5" s="27" t="s">
        <v>78</v>
      </c>
      <c r="I5" s="27" t="s">
        <v>78</v>
      </c>
    </row>
    <row r="6" spans="1:9" x14ac:dyDescent="0.25">
      <c r="A6" s="16"/>
      <c r="B6" s="17"/>
      <c r="C6" s="18" t="s">
        <v>23</v>
      </c>
      <c r="D6" s="27" t="s">
        <v>69</v>
      </c>
      <c r="E6" s="27" t="s">
        <v>70</v>
      </c>
      <c r="F6" s="27" t="s">
        <v>71</v>
      </c>
      <c r="G6" s="27" t="s">
        <v>72</v>
      </c>
      <c r="H6" s="27" t="s">
        <v>73</v>
      </c>
      <c r="I6" s="27" t="s">
        <v>74</v>
      </c>
    </row>
    <row r="7" spans="1:9" ht="15" customHeight="1" x14ac:dyDescent="0.25">
      <c r="A7" s="3" t="s">
        <v>0</v>
      </c>
      <c r="B7" s="9"/>
      <c r="C7" s="4"/>
      <c r="D7" s="28"/>
      <c r="E7" s="28"/>
      <c r="F7" s="28"/>
      <c r="G7" s="28"/>
      <c r="H7" s="28"/>
      <c r="I7" s="28"/>
    </row>
    <row r="8" spans="1:9" ht="15" customHeight="1" x14ac:dyDescent="0.35">
      <c r="A8" s="8"/>
      <c r="B8" s="10"/>
      <c r="C8" s="2" t="s">
        <v>5</v>
      </c>
      <c r="D8" s="29"/>
      <c r="E8" s="29"/>
      <c r="F8" s="29"/>
      <c r="G8" s="29"/>
      <c r="H8" s="29"/>
      <c r="I8" s="29"/>
    </row>
    <row r="9" spans="1:9" ht="15" customHeight="1" x14ac:dyDescent="0.35">
      <c r="A9" s="8"/>
      <c r="B9" s="10"/>
      <c r="C9" s="2" t="s">
        <v>4</v>
      </c>
      <c r="D9" s="30"/>
      <c r="E9" s="30"/>
      <c r="F9" s="30"/>
      <c r="G9" s="30"/>
      <c r="H9" s="30"/>
      <c r="I9" s="30"/>
    </row>
    <row r="10" spans="1:9" ht="15" customHeight="1" x14ac:dyDescent="0.35">
      <c r="A10" s="16"/>
      <c r="B10" s="19"/>
      <c r="C10" s="2" t="s">
        <v>6</v>
      </c>
      <c r="D10" s="30"/>
      <c r="E10" s="30"/>
      <c r="F10" s="30"/>
      <c r="G10" s="65"/>
      <c r="H10" s="65"/>
      <c r="I10" s="65"/>
    </row>
    <row r="11" spans="1:9" ht="15" customHeight="1" x14ac:dyDescent="0.25">
      <c r="A11" s="3" t="s">
        <v>3</v>
      </c>
      <c r="B11" s="9"/>
      <c r="C11" s="4"/>
      <c r="D11" s="31"/>
      <c r="E11" s="32"/>
      <c r="F11" s="31"/>
      <c r="G11" s="32"/>
      <c r="H11" s="31"/>
      <c r="I11" s="31"/>
    </row>
    <row r="12" spans="1:9" ht="15" customHeight="1" x14ac:dyDescent="0.25">
      <c r="A12" s="8"/>
      <c r="B12" s="10"/>
      <c r="C12" s="2" t="s">
        <v>2</v>
      </c>
      <c r="D12" s="30">
        <v>29.784186350130017</v>
      </c>
      <c r="E12" s="30">
        <v>56.693341521384681</v>
      </c>
      <c r="F12" s="30">
        <v>83.602496692639349</v>
      </c>
      <c r="G12" s="30">
        <v>110.51165186389402</v>
      </c>
      <c r="H12" s="30">
        <v>137.4208070351487</v>
      </c>
      <c r="I12" s="30">
        <v>164.32996220640337</v>
      </c>
    </row>
    <row r="13" spans="1:9" ht="15" customHeight="1" x14ac:dyDescent="0.25">
      <c r="A13" s="8"/>
      <c r="B13" s="10"/>
      <c r="C13" s="2" t="s">
        <v>1</v>
      </c>
      <c r="D13" s="30">
        <v>0.47083412382118428</v>
      </c>
      <c r="E13" s="30">
        <v>0.47083412382118428</v>
      </c>
      <c r="F13" s="30">
        <v>0.47083412382118428</v>
      </c>
      <c r="G13" s="30">
        <v>0.47083412382118428</v>
      </c>
      <c r="H13" s="30">
        <v>0.47083412382118428</v>
      </c>
      <c r="I13" s="30">
        <v>0.47083412382118428</v>
      </c>
    </row>
    <row r="14" spans="1:9" ht="15" customHeight="1" x14ac:dyDescent="0.35">
      <c r="A14" s="20"/>
      <c r="B14" s="21"/>
      <c r="C14" s="2" t="s">
        <v>7</v>
      </c>
      <c r="D14" s="29">
        <f>(D4/2)^2*PI()/1000000</f>
        <v>1.2271846303085129E-2</v>
      </c>
      <c r="E14" s="29">
        <f t="shared" ref="E14:H14" si="0">(E4/2)^2*PI()/1000000</f>
        <v>2.0106192982974676E-2</v>
      </c>
      <c r="F14" s="29">
        <f t="shared" si="0"/>
        <v>2.0106192982974676E-2</v>
      </c>
      <c r="G14" s="29">
        <f t="shared" si="0"/>
        <v>3.1415926535897934E-2</v>
      </c>
      <c r="H14" s="29">
        <f t="shared" si="0"/>
        <v>4.9087385212340517E-2</v>
      </c>
      <c r="I14" s="29">
        <f>(I4/2)^2*PI()/1000000</f>
        <v>7.793113276311181E-2</v>
      </c>
    </row>
    <row r="15" spans="1:9" ht="15" customHeight="1" x14ac:dyDescent="0.25">
      <c r="A15" s="3" t="s">
        <v>24</v>
      </c>
      <c r="B15" s="9"/>
      <c r="C15" s="4"/>
      <c r="D15" s="5"/>
      <c r="E15" s="5"/>
      <c r="F15" s="5"/>
      <c r="G15" s="5"/>
      <c r="H15" s="5"/>
      <c r="I15" s="5"/>
    </row>
    <row r="16" spans="1:9" ht="15" customHeight="1" x14ac:dyDescent="0.25">
      <c r="A16" s="22"/>
      <c r="B16" s="23" t="s">
        <v>25</v>
      </c>
      <c r="C16" s="2" t="s">
        <v>2</v>
      </c>
      <c r="D16" s="35"/>
      <c r="E16" s="30"/>
      <c r="F16" s="30"/>
      <c r="G16" s="30"/>
      <c r="H16" s="30"/>
      <c r="I16" s="30"/>
    </row>
    <row r="17" spans="1:9" ht="15" customHeight="1" x14ac:dyDescent="0.25">
      <c r="A17" s="8"/>
      <c r="B17" s="10"/>
      <c r="C17" s="2" t="s">
        <v>1</v>
      </c>
      <c r="D17" s="35"/>
      <c r="E17" s="30"/>
      <c r="F17" s="30"/>
      <c r="G17" s="30"/>
      <c r="H17" s="30"/>
      <c r="I17" s="30"/>
    </row>
    <row r="18" spans="1:9" ht="15" customHeight="1" x14ac:dyDescent="0.25">
      <c r="A18" s="22"/>
      <c r="B18" s="23" t="s">
        <v>26</v>
      </c>
      <c r="C18" s="2" t="s">
        <v>2</v>
      </c>
      <c r="D18" s="35"/>
      <c r="E18" s="30"/>
      <c r="F18" s="30"/>
      <c r="G18" s="30"/>
      <c r="H18" s="30"/>
      <c r="I18" s="30"/>
    </row>
    <row r="19" spans="1:9" ht="15" customHeight="1" x14ac:dyDescent="0.25">
      <c r="A19" s="8"/>
      <c r="B19" s="11"/>
      <c r="C19" s="2" t="s">
        <v>1</v>
      </c>
      <c r="D19" s="35"/>
      <c r="E19" s="30"/>
      <c r="F19" s="30"/>
      <c r="G19" s="30"/>
      <c r="H19" s="30"/>
      <c r="I19" s="30"/>
    </row>
    <row r="20" spans="1:9" ht="15" customHeight="1" x14ac:dyDescent="0.25">
      <c r="A20" s="22"/>
      <c r="B20" s="23" t="s">
        <v>27</v>
      </c>
      <c r="C20" s="2" t="s">
        <v>2</v>
      </c>
      <c r="D20" s="35"/>
      <c r="E20" s="30"/>
      <c r="F20" s="30"/>
      <c r="G20" s="30"/>
      <c r="H20" s="30"/>
      <c r="I20" s="30"/>
    </row>
    <row r="21" spans="1:9" ht="15" customHeight="1" x14ac:dyDescent="0.25">
      <c r="A21" s="8"/>
      <c r="B21" s="11"/>
      <c r="C21" s="2" t="s">
        <v>1</v>
      </c>
      <c r="D21" s="35"/>
      <c r="E21" s="30"/>
      <c r="F21" s="30"/>
      <c r="G21" s="30"/>
      <c r="H21" s="30"/>
      <c r="I21" s="30"/>
    </row>
    <row r="22" spans="1:9" ht="15" customHeight="1" x14ac:dyDescent="0.25">
      <c r="A22" s="22"/>
      <c r="B22" s="23" t="s">
        <v>28</v>
      </c>
      <c r="C22" s="2" t="s">
        <v>2</v>
      </c>
      <c r="D22" s="35"/>
      <c r="E22" s="30"/>
      <c r="F22" s="30"/>
      <c r="G22" s="30"/>
      <c r="H22" s="30"/>
      <c r="I22" s="30"/>
    </row>
    <row r="23" spans="1:9" ht="15" customHeight="1" x14ac:dyDescent="0.25">
      <c r="A23" s="8"/>
      <c r="B23" s="11"/>
      <c r="C23" s="2" t="s">
        <v>1</v>
      </c>
      <c r="D23" s="35"/>
      <c r="E23" s="30"/>
      <c r="F23" s="30"/>
      <c r="G23" s="30"/>
      <c r="H23" s="30"/>
      <c r="I23" s="30"/>
    </row>
    <row r="24" spans="1:9" ht="15" customHeight="1" x14ac:dyDescent="0.25">
      <c r="A24" s="22"/>
      <c r="B24" s="23" t="s">
        <v>29</v>
      </c>
      <c r="C24" s="2" t="s">
        <v>2</v>
      </c>
      <c r="D24" s="35"/>
      <c r="E24" s="30"/>
      <c r="F24" s="30"/>
      <c r="G24" s="30"/>
      <c r="H24" s="30"/>
      <c r="I24" s="30"/>
    </row>
    <row r="25" spans="1:9" ht="15" customHeight="1" x14ac:dyDescent="0.25">
      <c r="A25" s="8"/>
      <c r="B25" s="11"/>
      <c r="C25" s="2" t="s">
        <v>1</v>
      </c>
      <c r="D25" s="35"/>
      <c r="E25" s="30"/>
      <c r="F25" s="30"/>
      <c r="G25" s="30"/>
      <c r="H25" s="30"/>
      <c r="I25" s="30"/>
    </row>
    <row r="26" spans="1:9" ht="15" customHeight="1" x14ac:dyDescent="0.25">
      <c r="A26" s="3" t="s">
        <v>17</v>
      </c>
      <c r="B26" s="9"/>
      <c r="C26" s="4"/>
      <c r="D26" s="33"/>
      <c r="E26" s="34"/>
      <c r="F26" s="34"/>
      <c r="G26" s="34"/>
      <c r="H26" s="34"/>
      <c r="I26" s="34"/>
    </row>
    <row r="27" spans="1:9" ht="15" customHeight="1" x14ac:dyDescent="0.35">
      <c r="A27" s="8"/>
      <c r="B27" s="10"/>
      <c r="C27" s="2" t="s">
        <v>5</v>
      </c>
      <c r="D27" s="35"/>
      <c r="E27" s="30"/>
      <c r="F27" s="30"/>
      <c r="G27" s="29"/>
      <c r="H27" s="29"/>
      <c r="I27" s="29"/>
    </row>
    <row r="28" spans="1:9" ht="15" customHeight="1" x14ac:dyDescent="0.35">
      <c r="A28" s="8"/>
      <c r="B28" s="10"/>
      <c r="C28" s="2" t="s">
        <v>18</v>
      </c>
      <c r="D28" s="35"/>
      <c r="E28" s="30"/>
      <c r="F28" s="30"/>
      <c r="G28" s="36"/>
      <c r="H28" s="36"/>
      <c r="I28" s="36"/>
    </row>
    <row r="29" spans="1:9" ht="15" customHeight="1" x14ac:dyDescent="0.35">
      <c r="A29" s="8"/>
      <c r="B29" s="11"/>
      <c r="C29" s="2" t="s">
        <v>6</v>
      </c>
      <c r="D29" s="35"/>
      <c r="E29" s="30"/>
      <c r="F29" s="30"/>
      <c r="G29" s="36"/>
      <c r="H29" s="36"/>
      <c r="I29" s="36"/>
    </row>
    <row r="30" spans="1:9" ht="15" customHeight="1" x14ac:dyDescent="0.25">
      <c r="A30" s="3" t="s">
        <v>9</v>
      </c>
      <c r="B30" s="9"/>
      <c r="C30" s="4"/>
      <c r="D30" s="31"/>
      <c r="E30" s="32"/>
      <c r="F30" s="31"/>
      <c r="G30" s="32"/>
      <c r="H30" s="31"/>
      <c r="I30" s="31"/>
    </row>
    <row r="31" spans="1:9" ht="15" customHeight="1" x14ac:dyDescent="0.25">
      <c r="A31" s="8"/>
      <c r="B31" s="10"/>
      <c r="C31" s="2" t="s">
        <v>2</v>
      </c>
      <c r="D31" s="30">
        <v>28.371713431023998</v>
      </c>
      <c r="E31" s="30">
        <v>29.376913342723448</v>
      </c>
      <c r="F31" s="30">
        <v>27.244236043122712</v>
      </c>
      <c r="G31" s="30">
        <v>23.28452156780547</v>
      </c>
      <c r="H31" s="30">
        <v>22.129747391697187</v>
      </c>
      <c r="I31" s="30">
        <v>19.269527644931422</v>
      </c>
    </row>
    <row r="32" spans="1:9" ht="15" customHeight="1" x14ac:dyDescent="0.25">
      <c r="A32" s="16"/>
      <c r="B32" s="19"/>
      <c r="C32" s="2" t="s">
        <v>1</v>
      </c>
      <c r="D32" s="30">
        <v>-111.88730747191467</v>
      </c>
      <c r="E32" s="30">
        <v>-138.28295284952728</v>
      </c>
      <c r="F32" s="30">
        <v>-140.00172730695809</v>
      </c>
      <c r="G32" s="30">
        <v>-124.05627352668091</v>
      </c>
      <c r="H32" s="30">
        <v>-124.44553137649844</v>
      </c>
      <c r="I32" s="30">
        <v>-110.63762228058556</v>
      </c>
    </row>
    <row r="33" spans="1:9" ht="15" customHeight="1" x14ac:dyDescent="0.25">
      <c r="A33" s="3" t="s">
        <v>10</v>
      </c>
      <c r="B33" s="9"/>
      <c r="C33" s="4"/>
      <c r="D33" s="34"/>
      <c r="E33" s="37"/>
      <c r="F33" s="34"/>
      <c r="G33" s="37"/>
      <c r="H33" s="34"/>
      <c r="I33" s="34"/>
    </row>
    <row r="34" spans="1:9" ht="15" customHeight="1" x14ac:dyDescent="0.25">
      <c r="A34" s="8"/>
      <c r="B34" s="10"/>
      <c r="C34" s="2" t="s">
        <v>2</v>
      </c>
      <c r="D34" s="30">
        <v>25.657736880038758</v>
      </c>
      <c r="E34" s="30">
        <v>26.176925121893401</v>
      </c>
      <c r="F34" s="30">
        <v>26.984008821416015</v>
      </c>
      <c r="G34" s="30">
        <v>27.22927336766724</v>
      </c>
      <c r="H34" s="30">
        <v>34.042985084794218</v>
      </c>
      <c r="I34" s="30">
        <v>34.494910561655587</v>
      </c>
    </row>
    <row r="35" spans="1:9" ht="15" customHeight="1" x14ac:dyDescent="0.25">
      <c r="A35" s="16"/>
      <c r="B35" s="19"/>
      <c r="C35" s="2" t="s">
        <v>1</v>
      </c>
      <c r="D35" s="30">
        <v>-93.993989207674261</v>
      </c>
      <c r="E35" s="30">
        <v>-115.69237493680104</v>
      </c>
      <c r="F35" s="30">
        <v>-132.50623557839796</v>
      </c>
      <c r="G35" s="30">
        <v>-140.64571564333798</v>
      </c>
      <c r="H35" s="30">
        <v>-192.53852812166281</v>
      </c>
      <c r="I35" s="30">
        <v>-200.16789695051074</v>
      </c>
    </row>
    <row r="36" spans="1:9" ht="15" customHeight="1" x14ac:dyDescent="0.25">
      <c r="A36" s="3" t="s">
        <v>8</v>
      </c>
      <c r="B36" s="9"/>
      <c r="C36" s="4"/>
      <c r="D36" s="34"/>
      <c r="E36" s="37"/>
      <c r="F36" s="34"/>
      <c r="G36" s="37"/>
      <c r="H36" s="34"/>
      <c r="I36" s="34"/>
    </row>
    <row r="37" spans="1:9" ht="15" customHeight="1" x14ac:dyDescent="0.25">
      <c r="A37" s="24"/>
      <c r="B37" s="15" t="s">
        <v>30</v>
      </c>
      <c r="C37" s="2" t="s">
        <v>2</v>
      </c>
      <c r="D37" s="30">
        <v>21.57962900749926</v>
      </c>
      <c r="E37" s="30">
        <v>21.518171189926548</v>
      </c>
      <c r="F37" s="30">
        <v>21.545002753858032</v>
      </c>
      <c r="G37" s="30">
        <v>21.409183123142181</v>
      </c>
      <c r="H37" s="30"/>
      <c r="I37" s="30"/>
    </row>
    <row r="38" spans="1:9" ht="15" customHeight="1" x14ac:dyDescent="0.25">
      <c r="A38" s="24"/>
      <c r="B38" s="15"/>
      <c r="C38" s="2" t="s">
        <v>1</v>
      </c>
      <c r="D38" s="30">
        <v>-61.940964973165691</v>
      </c>
      <c r="E38" s="30">
        <v>-78.786379906836217</v>
      </c>
      <c r="F38" s="30">
        <v>-89.873421613555905</v>
      </c>
      <c r="G38" s="30">
        <v>-95.153521763953492</v>
      </c>
      <c r="H38" s="30"/>
      <c r="I38" s="30"/>
    </row>
    <row r="39" spans="1:9" ht="15" customHeight="1" x14ac:dyDescent="0.25">
      <c r="A39" s="24"/>
      <c r="B39" s="15" t="s">
        <v>31</v>
      </c>
      <c r="C39" s="2" t="s">
        <v>2</v>
      </c>
      <c r="D39" s="30">
        <v>30.216873181117865</v>
      </c>
      <c r="E39" s="30">
        <v>30.128430469925398</v>
      </c>
      <c r="F39" s="30">
        <v>30.166624594952278</v>
      </c>
      <c r="G39" s="30">
        <v>29.973645598174517</v>
      </c>
      <c r="H39" s="30">
        <v>30.135385829004143</v>
      </c>
      <c r="I39" s="30">
        <v>30.011487891781329</v>
      </c>
    </row>
    <row r="40" spans="1:9" ht="15" customHeight="1" x14ac:dyDescent="0.25">
      <c r="A40" s="24"/>
      <c r="B40" s="15"/>
      <c r="C40" s="2" t="s">
        <v>1</v>
      </c>
      <c r="D40" s="30">
        <v>-110.51419421802805</v>
      </c>
      <c r="E40" s="30">
        <v>-131.56196803474427</v>
      </c>
      <c r="F40" s="30">
        <v>-145.6113212922703</v>
      </c>
      <c r="G40" s="30">
        <v>-151.93793209363136</v>
      </c>
      <c r="H40" s="30">
        <v>-162.27984483271274</v>
      </c>
      <c r="I40" s="30">
        <v>-166.27175007286439</v>
      </c>
    </row>
    <row r="41" spans="1:9" ht="15" customHeight="1" x14ac:dyDescent="0.25">
      <c r="A41" s="24"/>
      <c r="B41" s="15" t="s">
        <v>32</v>
      </c>
      <c r="C41" s="2" t="s">
        <v>2</v>
      </c>
      <c r="D41" s="30">
        <v>32.797884325772628</v>
      </c>
      <c r="E41" s="30">
        <v>32.702639088520918</v>
      </c>
      <c r="F41" s="30">
        <v>32.741374489444269</v>
      </c>
      <c r="G41" s="30">
        <v>32.530023238938917</v>
      </c>
      <c r="H41" s="30">
        <v>32.707582114611021</v>
      </c>
      <c r="I41" s="30">
        <v>32.573487140589457</v>
      </c>
    </row>
    <row r="42" spans="1:9" ht="15" customHeight="1" x14ac:dyDescent="0.25">
      <c r="A42" s="24"/>
      <c r="B42" s="15"/>
      <c r="C42" s="2" t="s">
        <v>1</v>
      </c>
      <c r="D42" s="30">
        <v>-137.19303857508601</v>
      </c>
      <c r="E42" s="30">
        <v>-157.76094942800486</v>
      </c>
      <c r="F42" s="30">
        <v>-171.65941868711684</v>
      </c>
      <c r="G42" s="30">
        <v>-177.56713213130715</v>
      </c>
      <c r="H42" s="30">
        <v>-188.06974698900871</v>
      </c>
      <c r="I42" s="30">
        <v>-191.80480228242618</v>
      </c>
    </row>
    <row r="43" spans="1:9" ht="15" customHeight="1" x14ac:dyDescent="0.25">
      <c r="A43" s="24"/>
      <c r="B43" s="15" t="s">
        <v>33</v>
      </c>
      <c r="C43" s="2" t="s">
        <v>2</v>
      </c>
      <c r="D43" s="30">
        <v>35.197317791546062</v>
      </c>
      <c r="E43" s="30">
        <v>35.093290586490312</v>
      </c>
      <c r="F43" s="30">
        <v>35.134857650142536</v>
      </c>
      <c r="G43" s="30">
        <v>34.908056050744769</v>
      </c>
      <c r="H43" s="30">
        <v>35.09859496117658</v>
      </c>
      <c r="I43" s="30">
        <v>34.952128130732156</v>
      </c>
    </row>
    <row r="44" spans="1:9" ht="15" customHeight="1" x14ac:dyDescent="0.25">
      <c r="A44" s="24"/>
      <c r="B44" s="15"/>
      <c r="C44" s="2" t="s">
        <v>1</v>
      </c>
      <c r="D44" s="30">
        <v>-158.20648096390156</v>
      </c>
      <c r="E44" s="30">
        <v>-177.31377806936553</v>
      </c>
      <c r="F44" s="30">
        <v>-190.49966864537436</v>
      </c>
      <c r="G44" s="30">
        <v>-195.61279467649592</v>
      </c>
      <c r="H44" s="30">
        <v>-205.93186496426799</v>
      </c>
      <c r="I44" s="30">
        <v>-209.14548561611375</v>
      </c>
    </row>
    <row r="45" spans="1:9" ht="15" customHeight="1" x14ac:dyDescent="0.25">
      <c r="A45" s="24"/>
      <c r="B45" s="15" t="s">
        <v>34</v>
      </c>
      <c r="C45" s="2" t="s">
        <v>2</v>
      </c>
      <c r="D45" s="30">
        <v>44.932402165596464</v>
      </c>
      <c r="E45" s="30">
        <v>44.799602494854135</v>
      </c>
      <c r="F45" s="30">
        <v>44.852666425234432</v>
      </c>
      <c r="G45" s="30">
        <v>44.563134684881597</v>
      </c>
      <c r="H45" s="30">
        <v>44.803600986079992</v>
      </c>
      <c r="I45" s="30">
        <v>44.61939648397648</v>
      </c>
    </row>
    <row r="46" spans="1:9" ht="15" customHeight="1" x14ac:dyDescent="0.25">
      <c r="A46" s="24"/>
      <c r="B46" s="15"/>
      <c r="C46" s="2" t="s">
        <v>1</v>
      </c>
      <c r="D46" s="30">
        <v>-215.54040131407547</v>
      </c>
      <c r="E46" s="30">
        <v>-239.06712881904073</v>
      </c>
      <c r="F46" s="30">
        <v>-255.39383694253317</v>
      </c>
      <c r="G46" s="30">
        <v>-261.5620167779133</v>
      </c>
      <c r="H46" s="30">
        <v>-274.438541403192</v>
      </c>
      <c r="I46" s="30">
        <v>-278.33144538087925</v>
      </c>
    </row>
    <row r="47" spans="1:9" ht="15" customHeight="1" x14ac:dyDescent="0.25">
      <c r="A47" s="24"/>
      <c r="B47" s="15" t="s">
        <v>35</v>
      </c>
      <c r="C47" s="2" t="s">
        <v>2</v>
      </c>
      <c r="D47" s="30"/>
      <c r="E47" s="30"/>
      <c r="F47" s="30"/>
      <c r="G47" s="30">
        <v>48.042795026990419</v>
      </c>
      <c r="H47" s="30">
        <v>48.300639071000589</v>
      </c>
      <c r="I47" s="30">
        <v>48.103172027203975</v>
      </c>
    </row>
    <row r="48" spans="1:9" ht="15" customHeight="1" x14ac:dyDescent="0.25">
      <c r="A48" s="24"/>
      <c r="B48" s="15"/>
      <c r="C48" s="2" t="s">
        <v>1</v>
      </c>
      <c r="D48" s="30"/>
      <c r="E48" s="30"/>
      <c r="F48" s="30"/>
      <c r="G48" s="30">
        <v>-290.65908774183271</v>
      </c>
      <c r="H48" s="30">
        <v>-304.84763915684977</v>
      </c>
      <c r="I48" s="30">
        <v>-309.31043176609705</v>
      </c>
    </row>
    <row r="49" spans="1:9" ht="15" customHeight="1" x14ac:dyDescent="0.25">
      <c r="A49" s="24"/>
      <c r="B49" s="15" t="s">
        <v>36</v>
      </c>
      <c r="C49" s="2" t="s">
        <v>2</v>
      </c>
      <c r="D49" s="30"/>
      <c r="E49" s="30"/>
      <c r="F49" s="30"/>
      <c r="G49" s="30"/>
      <c r="H49" s="30"/>
      <c r="I49" s="30"/>
    </row>
    <row r="50" spans="1:9" ht="15" customHeight="1" x14ac:dyDescent="0.25">
      <c r="A50" s="25"/>
      <c r="B50" s="18"/>
      <c r="C50" s="2" t="s">
        <v>1</v>
      </c>
      <c r="D50" s="30"/>
      <c r="E50" s="30"/>
      <c r="F50" s="30"/>
      <c r="G50" s="30"/>
      <c r="H50" s="30"/>
      <c r="I50" s="30"/>
    </row>
    <row r="51" spans="1:9" x14ac:dyDescent="0.25">
      <c r="A51" t="s">
        <v>37</v>
      </c>
    </row>
    <row r="52" spans="1:9" x14ac:dyDescent="0.25">
      <c r="D52" s="60"/>
    </row>
  </sheetData>
  <sheetProtection algorithmName="SHA-512" hashValue="MQ+qxRAjDU23zZdHGLI9gzbiEFyDB67clTGIOtBr4gG9oSEwTvFpvEGpcGeO4mZRYNZdOMdAVm9Aa4iexXIHoQ==" saltValue="qRmHIONrX2AY1RuGUD5zEw==" spinCount="100000" sheet="1" objects="1" scenarios="1"/>
  <mergeCells count="1">
    <mergeCell ref="D1:G1"/>
  </mergeCells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29"/>
  <sheetViews>
    <sheetView workbookViewId="0">
      <selection activeCell="B9" sqref="B9"/>
    </sheetView>
  </sheetViews>
  <sheetFormatPr defaultRowHeight="12" x14ac:dyDescent="0.2"/>
  <cols>
    <col min="1" max="1" width="9.140625" style="41"/>
    <col min="2" max="2" width="13.85546875" style="41" bestFit="1" customWidth="1"/>
    <col min="3" max="3" width="13.42578125" style="41" bestFit="1" customWidth="1"/>
    <col min="4" max="4" width="14.85546875" style="41" bestFit="1" customWidth="1"/>
    <col min="5" max="5" width="13.42578125" style="41" bestFit="1" customWidth="1"/>
    <col min="6" max="7" width="10.85546875" style="41" bestFit="1" customWidth="1"/>
    <col min="8" max="16384" width="9.140625" style="39"/>
  </cols>
  <sheetData>
    <row r="1" spans="1:11" x14ac:dyDescent="0.2">
      <c r="A1" s="61" t="s">
        <v>38</v>
      </c>
    </row>
    <row r="2" spans="1:11" x14ac:dyDescent="0.2">
      <c r="A2" s="43" t="str">
        <f>IF(ISBLANK(TechData!C2),"",TechData!C2)</f>
        <v>Type</v>
      </c>
      <c r="B2" s="42" t="str">
        <f>IF(ISBLANK(TechData!D2),"",TechData!D2)</f>
        <v>RT1</v>
      </c>
      <c r="C2" s="42" t="str">
        <f>IF(ISBLANK(TechData!E2),"",TechData!E2)</f>
        <v>RT2</v>
      </c>
      <c r="D2" s="42" t="str">
        <f>IF(ISBLANK(TechData!F2),"",TechData!F2)</f>
        <v>RT3</v>
      </c>
      <c r="E2" s="42" t="str">
        <f>IF(ISBLANK(TechData!G2),"",TechData!G2)</f>
        <v>RT4</v>
      </c>
      <c r="F2" s="42" t="str">
        <f>IF(ISBLANK(TechData!H2),"",TechData!H2)</f>
        <v>RT5</v>
      </c>
      <c r="G2" s="42" t="str">
        <f>IF(ISBLANK(TechData!I2),"",TechData!I2)</f>
        <v>RT6</v>
      </c>
    </row>
    <row r="3" spans="1:11" x14ac:dyDescent="0.2">
      <c r="A3" s="43" t="str">
        <f>IF(ISBLANK(TechData!C3),"",TechData!C3)</f>
        <v>Size</v>
      </c>
      <c r="B3" s="42">
        <f>IF(ISBLANK(TechData!D3),"",TechData!D3)</f>
        <v>1000</v>
      </c>
      <c r="C3" s="42">
        <f>IF(ISBLANK(TechData!E3),"",TechData!E3)</f>
        <v>1000</v>
      </c>
      <c r="D3" s="42">
        <f>IF(ISBLANK(TechData!F3),"",TechData!F3)</f>
        <v>1000</v>
      </c>
      <c r="E3" s="42">
        <f>IF(ISBLANK(TechData!G3),"",TechData!G3)</f>
        <v>1000</v>
      </c>
      <c r="F3" s="42">
        <f>IF(ISBLANK(TechData!H3),"",TechData!H3)</f>
        <v>1000</v>
      </c>
      <c r="G3" s="42">
        <f>IF(ISBLANK(TechData!I3),"",TechData!I3)</f>
        <v>1000</v>
      </c>
      <c r="K3" s="40"/>
    </row>
    <row r="4" spans="1:11" x14ac:dyDescent="0.2">
      <c r="A4" s="43" t="str">
        <f>IF(ISBLANK(TechData!C4),"",TechData!C4)</f>
        <v>condition 1</v>
      </c>
      <c r="B4" s="42">
        <f>IF(ISBLANK(TechData!D4),"",TechData!D4)</f>
        <v>125</v>
      </c>
      <c r="C4" s="42">
        <f>IF(ISBLANK(TechData!E4),"",TechData!E4)</f>
        <v>160</v>
      </c>
      <c r="D4" s="42">
        <f>IF(ISBLANK(TechData!F4),"",TechData!F4)</f>
        <v>160</v>
      </c>
      <c r="E4" s="42">
        <f>IF(ISBLANK(TechData!G4),"",TechData!G4)</f>
        <v>200</v>
      </c>
      <c r="F4" s="42">
        <f>IF(ISBLANK(TechData!H4),"",TechData!H4)</f>
        <v>250</v>
      </c>
      <c r="G4" s="42">
        <f>IF(ISBLANK(TechData!I4),"",TechData!I4)</f>
        <v>315</v>
      </c>
    </row>
    <row r="5" spans="1:11" x14ac:dyDescent="0.2">
      <c r="A5" s="43" t="str">
        <f>IF(ISBLANK(TechData!C5),"",TechData!C5)</f>
        <v>condition 2</v>
      </c>
      <c r="B5" s="42" t="str">
        <f>IF(ISBLANK(TechData!D5),"",TechData!D5)</f>
        <v>100% (open)</v>
      </c>
      <c r="C5" s="42" t="str">
        <f>IF(ISBLANK(TechData!E5),"",TechData!E5)</f>
        <v>100% (open)</v>
      </c>
      <c r="D5" s="42" t="str">
        <f>IF(ISBLANK(TechData!F5),"",TechData!F5)</f>
        <v>100% (open)</v>
      </c>
      <c r="E5" s="42" t="str">
        <f>IF(ISBLANK(TechData!G5),"",TechData!G5)</f>
        <v>100% (open)</v>
      </c>
      <c r="F5" s="42" t="str">
        <f>IF(ISBLANK(TechData!H5),"",TechData!H5)</f>
        <v>100% (open)</v>
      </c>
      <c r="G5" s="42" t="str">
        <f>IF(ISBLANK(TechData!I5),"",TechData!I5)</f>
        <v>100% (open)</v>
      </c>
    </row>
    <row r="6" spans="1:11" x14ac:dyDescent="0.2">
      <c r="A6" s="50" t="str">
        <f>IF(ISBLANK(TechData!C6),"",TechData!C6)</f>
        <v>condition 3</v>
      </c>
      <c r="B6" s="51" t="str">
        <f>IF(ISBLANK(TechData!D6),"",TechData!D6)</f>
        <v>RP--1</v>
      </c>
      <c r="C6" s="51" t="str">
        <f>IF(ISBLANK(TechData!E6),"",TechData!E6)</f>
        <v>RP--2</v>
      </c>
      <c r="D6" s="51" t="str">
        <f>IF(ISBLANK(TechData!F6),"",TechData!F6)</f>
        <v>RP--3</v>
      </c>
      <c r="E6" s="51" t="str">
        <f>IF(ISBLANK(TechData!G6),"",TechData!G6)</f>
        <v>RP--4</v>
      </c>
      <c r="F6" s="51" t="str">
        <f>IF(ISBLANK(TechData!H6),"",TechData!H6)</f>
        <v>RP--5</v>
      </c>
      <c r="G6" s="51" t="str">
        <f>IF(ISBLANK(TechData!I6),"",TechData!I6)</f>
        <v>RP--6</v>
      </c>
    </row>
    <row r="7" spans="1:11" ht="15" x14ac:dyDescent="0.25">
      <c r="A7" s="45" t="s">
        <v>2</v>
      </c>
    </row>
    <row r="8" spans="1:11" x14ac:dyDescent="0.2">
      <c r="A8" s="44" t="s">
        <v>39</v>
      </c>
    </row>
    <row r="9" spans="1:11" x14ac:dyDescent="0.2">
      <c r="A9" s="46">
        <v>4</v>
      </c>
      <c r="B9" s="47" t="str">
        <f>IF(ISBLANK(TechData!D16),"",TechData!D16)</f>
        <v/>
      </c>
      <c r="C9" s="47" t="str">
        <f>IF(ISBLANK(TechData!E16),"",TechData!E16)</f>
        <v/>
      </c>
      <c r="D9" s="47" t="str">
        <f>IF(ISBLANK(TechData!F16),"",TechData!F16)</f>
        <v/>
      </c>
      <c r="E9" s="47" t="str">
        <f>IF(ISBLANK(TechData!G16),"",TechData!G16)</f>
        <v/>
      </c>
      <c r="F9" s="47" t="str">
        <f>IF(ISBLANK(TechData!H16),"",TechData!H16)</f>
        <v/>
      </c>
      <c r="G9" s="47" t="str">
        <f>IF(ISBLANK(TechData!I16),"",TechData!I16)</f>
        <v/>
      </c>
    </row>
    <row r="10" spans="1:11" x14ac:dyDescent="0.2">
      <c r="A10" s="46">
        <v>6</v>
      </c>
      <c r="B10" s="47" t="str">
        <f>IF(ISBLANK(TechData!D18),"",TechData!D18)</f>
        <v/>
      </c>
      <c r="C10" s="47" t="str">
        <f>IF(ISBLANK(TechData!E18),"",TechData!E18)</f>
        <v/>
      </c>
      <c r="D10" s="47" t="str">
        <f>IF(ISBLANK(TechData!F18),"",TechData!F18)</f>
        <v/>
      </c>
      <c r="E10" s="47" t="str">
        <f>IF(ISBLANK(TechData!G18),"",TechData!G18)</f>
        <v/>
      </c>
      <c r="F10" s="47" t="str">
        <f>IF(ISBLANK(TechData!H18),"",TechData!H18)</f>
        <v/>
      </c>
      <c r="G10" s="47" t="str">
        <f>IF(ISBLANK(TechData!I18),"",TechData!I18)</f>
        <v/>
      </c>
    </row>
    <row r="11" spans="1:11" x14ac:dyDescent="0.2">
      <c r="A11" s="46">
        <v>8</v>
      </c>
      <c r="B11" s="47" t="str">
        <f>IF(ISBLANK(TechData!D20),"",TechData!D20)</f>
        <v/>
      </c>
      <c r="C11" s="47" t="str">
        <f>IF(ISBLANK(TechData!E20),"",TechData!E20)</f>
        <v/>
      </c>
      <c r="D11" s="47" t="str">
        <f>IF(ISBLANK(TechData!F20),"",TechData!F20)</f>
        <v/>
      </c>
      <c r="E11" s="47" t="str">
        <f>IF(ISBLANK(TechData!G20),"",TechData!G20)</f>
        <v/>
      </c>
      <c r="F11" s="47" t="str">
        <f>IF(ISBLANK(TechData!H20),"",TechData!H20)</f>
        <v/>
      </c>
      <c r="G11" s="47" t="str">
        <f>IF(ISBLANK(TechData!I20),"",TechData!I20)</f>
        <v/>
      </c>
    </row>
    <row r="12" spans="1:11" x14ac:dyDescent="0.2">
      <c r="A12" s="46">
        <v>10</v>
      </c>
      <c r="B12" s="47" t="str">
        <f>IF(ISBLANK(TechData!D22),"",TechData!D22)</f>
        <v/>
      </c>
      <c r="C12" s="47" t="str">
        <f>IF(ISBLANK(TechData!E22),"",TechData!E22)</f>
        <v/>
      </c>
      <c r="D12" s="47" t="str">
        <f>IF(ISBLANK(TechData!F22),"",TechData!F22)</f>
        <v/>
      </c>
      <c r="E12" s="47" t="str">
        <f>IF(ISBLANK(TechData!G22),"",TechData!G22)</f>
        <v/>
      </c>
      <c r="F12" s="47" t="str">
        <f>IF(ISBLANK(TechData!H22),"",TechData!H22)</f>
        <v/>
      </c>
      <c r="G12" s="47" t="str">
        <f>IF(ISBLANK(TechData!I22),"",TechData!I22)</f>
        <v/>
      </c>
    </row>
    <row r="13" spans="1:11" x14ac:dyDescent="0.2">
      <c r="A13" s="46">
        <v>12</v>
      </c>
      <c r="B13" s="47" t="str">
        <f>IF(ISBLANK(TechData!D24),"",TechData!D24)</f>
        <v/>
      </c>
      <c r="C13" s="47" t="str">
        <f>IF(ISBLANK(TechData!E24),"",TechData!E24)</f>
        <v/>
      </c>
      <c r="D13" s="47" t="str">
        <f>IF(ISBLANK(TechData!F24),"",TechData!F24)</f>
        <v/>
      </c>
      <c r="E13" s="47" t="str">
        <f>IF(ISBLANK(TechData!G24),"",TechData!G24)</f>
        <v/>
      </c>
      <c r="F13" s="47" t="str">
        <f>IF(ISBLANK(TechData!H24),"",TechData!H24)</f>
        <v/>
      </c>
      <c r="G13" s="47" t="str">
        <f>IF(ISBLANK(TechData!I24),"",TechData!I24)</f>
        <v/>
      </c>
    </row>
    <row r="14" spans="1:11" x14ac:dyDescent="0.2">
      <c r="B14" s="48"/>
      <c r="C14" s="48"/>
      <c r="D14" s="48"/>
      <c r="E14" s="48"/>
      <c r="F14" s="48"/>
      <c r="G14" s="48"/>
    </row>
    <row r="15" spans="1:11" ht="15" x14ac:dyDescent="0.25">
      <c r="A15" s="45" t="s">
        <v>1</v>
      </c>
      <c r="B15" s="48"/>
      <c r="C15" s="48"/>
      <c r="D15" s="48"/>
      <c r="E15" s="48"/>
      <c r="F15" s="48"/>
      <c r="G15" s="48"/>
    </row>
    <row r="16" spans="1:11" x14ac:dyDescent="0.2">
      <c r="A16" s="46">
        <v>4</v>
      </c>
      <c r="B16" s="47" t="str">
        <f>IF(ISBLANK(TechData!D17),"",TechData!D17)</f>
        <v/>
      </c>
      <c r="C16" s="47" t="str">
        <f>IF(ISBLANK(TechData!E17),"",TechData!E17)</f>
        <v/>
      </c>
      <c r="D16" s="47" t="str">
        <f>IF(ISBLANK(TechData!F17),"",TechData!F17)</f>
        <v/>
      </c>
      <c r="E16" s="47" t="str">
        <f>IF(ISBLANK(TechData!G17),"",TechData!G17)</f>
        <v/>
      </c>
      <c r="F16" s="47" t="str">
        <f>IF(ISBLANK(TechData!H17),"",TechData!H17)</f>
        <v/>
      </c>
      <c r="G16" s="47" t="str">
        <f>IF(ISBLANK(TechData!I17),"",TechData!I17)</f>
        <v/>
      </c>
    </row>
    <row r="17" spans="1:7" x14ac:dyDescent="0.2">
      <c r="A17" s="46">
        <v>6</v>
      </c>
      <c r="B17" s="47" t="str">
        <f>IF(ISBLANK(TechData!D19),"",TechData!D19)</f>
        <v/>
      </c>
      <c r="C17" s="47" t="str">
        <f>IF(ISBLANK(TechData!E19),"",TechData!E19)</f>
        <v/>
      </c>
      <c r="D17" s="47" t="str">
        <f>IF(ISBLANK(TechData!F19),"",TechData!F19)</f>
        <v/>
      </c>
      <c r="E17" s="47" t="str">
        <f>IF(ISBLANK(TechData!G19),"",TechData!G19)</f>
        <v/>
      </c>
      <c r="F17" s="47" t="str">
        <f>IF(ISBLANK(TechData!H19),"",TechData!H19)</f>
        <v/>
      </c>
      <c r="G17" s="47" t="str">
        <f>IF(ISBLANK(TechData!I19),"",TechData!I19)</f>
        <v/>
      </c>
    </row>
    <row r="18" spans="1:7" x14ac:dyDescent="0.2">
      <c r="A18" s="46">
        <v>8</v>
      </c>
      <c r="B18" s="47" t="str">
        <f>IF(ISBLANK(TechData!D21),"",TechData!D21)</f>
        <v/>
      </c>
      <c r="C18" s="47" t="str">
        <f>IF(ISBLANK(TechData!E21),"",TechData!E21)</f>
        <v/>
      </c>
      <c r="D18" s="47" t="str">
        <f>IF(ISBLANK(TechData!F21),"",TechData!F21)</f>
        <v/>
      </c>
      <c r="E18" s="47" t="str">
        <f>IF(ISBLANK(TechData!G21),"",TechData!G21)</f>
        <v/>
      </c>
      <c r="F18" s="47" t="str">
        <f>IF(ISBLANK(TechData!H21),"",TechData!H21)</f>
        <v/>
      </c>
      <c r="G18" s="47" t="str">
        <f>IF(ISBLANK(TechData!I21),"",TechData!I21)</f>
        <v/>
      </c>
    </row>
    <row r="19" spans="1:7" x14ac:dyDescent="0.2">
      <c r="A19" s="46">
        <v>10</v>
      </c>
      <c r="B19" s="47" t="str">
        <f>IF(ISBLANK(TechData!D23),"",TechData!D23)</f>
        <v/>
      </c>
      <c r="C19" s="47" t="str">
        <f>IF(ISBLANK(TechData!E23),"",TechData!E23)</f>
        <v/>
      </c>
      <c r="D19" s="47" t="str">
        <f>IF(ISBLANK(TechData!F23),"",TechData!F23)</f>
        <v/>
      </c>
      <c r="E19" s="47" t="str">
        <f>IF(ISBLANK(TechData!G23),"",TechData!G23)</f>
        <v/>
      </c>
      <c r="F19" s="47" t="str">
        <f>IF(ISBLANK(TechData!H23),"",TechData!H23)</f>
        <v/>
      </c>
      <c r="G19" s="47" t="str">
        <f>IF(ISBLANK(TechData!I23),"",TechData!I23)</f>
        <v/>
      </c>
    </row>
    <row r="20" spans="1:7" x14ac:dyDescent="0.2">
      <c r="A20" s="46">
        <v>12</v>
      </c>
      <c r="B20" s="47" t="str">
        <f>IF(ISBLANK(TechData!D25),"",TechData!D25)</f>
        <v/>
      </c>
      <c r="C20" s="47" t="str">
        <f>IF(ISBLANK(TechData!E25),"",TechData!E25)</f>
        <v/>
      </c>
      <c r="D20" s="47" t="str">
        <f>IF(ISBLANK(TechData!F25),"",TechData!F25)</f>
        <v/>
      </c>
      <c r="E20" s="47" t="str">
        <f>IF(ISBLANK(TechData!G25),"",TechData!G25)</f>
        <v/>
      </c>
      <c r="F20" s="47" t="str">
        <f>IF(ISBLANK(TechData!H25),"",TechData!H25)</f>
        <v/>
      </c>
      <c r="G20" s="47" t="str">
        <f>IF(ISBLANK(TechData!I25),"",TechData!I25)</f>
        <v/>
      </c>
    </row>
    <row r="22" spans="1:7" x14ac:dyDescent="0.2">
      <c r="A22" s="49" t="s">
        <v>40</v>
      </c>
    </row>
    <row r="23" spans="1:7" x14ac:dyDescent="0.2">
      <c r="A23" s="46" t="e">
        <f>ABS(SelectionData!#REF!-SelectionData!#REF!)</f>
        <v>#REF!</v>
      </c>
    </row>
    <row r="24" spans="1:7" x14ac:dyDescent="0.2">
      <c r="A24" s="46" t="s">
        <v>46</v>
      </c>
      <c r="B24" s="46" t="str">
        <f ca="1">IF(B9="","",IF($A$23&lt;4,4,IF($A$23&gt;12,10,OFFSET($A$9,MATCH($A$23,$A$9:$A$13)-1,0))))</f>
        <v/>
      </c>
      <c r="C24" s="46" t="str">
        <f t="shared" ref="C24:E24" ca="1" si="0">IF(C9="","",IF($A$23&lt;4,4,IF($A$23&gt;12,10,OFFSET($A$9,MATCH($A$23,$A$9:$A$13)-1,0))))</f>
        <v/>
      </c>
      <c r="D24" s="46" t="str">
        <f t="shared" ca="1" si="0"/>
        <v/>
      </c>
      <c r="E24" s="46" t="str">
        <f t="shared" ca="1" si="0"/>
        <v/>
      </c>
      <c r="F24" s="46" t="str">
        <f t="shared" ref="F24:G24" ca="1" si="1">IF(F9="","",IF($A$23&lt;4,4,IF($A$23&gt;12,10,OFFSET($A$9,MATCH($A$23,$A$9:$A$13)-1,0))))</f>
        <v/>
      </c>
      <c r="G24" s="46" t="str">
        <f t="shared" ca="1" si="1"/>
        <v/>
      </c>
    </row>
    <row r="25" spans="1:7" x14ac:dyDescent="0.2">
      <c r="A25" s="46" t="s">
        <v>45</v>
      </c>
      <c r="B25" s="46" t="str">
        <f ca="1">IF(B9="","",IF($A$23&lt;4,6,IF($A$23&gt;12,12,OFFSET($A$9,MATCH($A$23,$A$9:$A$13),0))))</f>
        <v/>
      </c>
      <c r="C25" s="46" t="str">
        <f t="shared" ref="C25:E25" ca="1" si="2">IF(C9="","",IF($A$23&lt;4,6,IF($A$23&gt;12,12,OFFSET($A$9,MATCH($A$23,$A$9:$A$13),0))))</f>
        <v/>
      </c>
      <c r="D25" s="46" t="str">
        <f t="shared" ca="1" si="2"/>
        <v/>
      </c>
      <c r="E25" s="46" t="str">
        <f t="shared" ca="1" si="2"/>
        <v/>
      </c>
      <c r="F25" s="46" t="str">
        <f t="shared" ref="F25:G25" ca="1" si="3">IF(F9="","",IF($A$23&lt;4,6,IF($A$23&gt;12,12,OFFSET($A$9,MATCH($A$23,$A$9:$A$13),0))))</f>
        <v/>
      </c>
      <c r="G25" s="46" t="str">
        <f t="shared" ca="1" si="3"/>
        <v/>
      </c>
    </row>
    <row r="26" spans="1:7" x14ac:dyDescent="0.2">
      <c r="A26" s="46" t="s">
        <v>41</v>
      </c>
      <c r="B26" s="46" t="str">
        <f ca="1">IF(B9="","",IF($A$23&lt;4,B9,IF($A$23&gt;12,B12,OFFSET(B$9,MATCH($A$23,$A$9:$A$13)-1,0))))</f>
        <v/>
      </c>
      <c r="C26" s="46" t="str">
        <f t="shared" ref="C26:E26" ca="1" si="4">IF(C9="","",IF($A$23&lt;4,C9,IF($A$23&gt;12,C12,OFFSET(C$9,MATCH($A$23,$A$9:$A$13)-1,0))))</f>
        <v/>
      </c>
      <c r="D26" s="46" t="str">
        <f t="shared" ca="1" si="4"/>
        <v/>
      </c>
      <c r="E26" s="46" t="str">
        <f t="shared" ca="1" si="4"/>
        <v/>
      </c>
      <c r="F26" s="46" t="str">
        <f t="shared" ref="F26:G26" ca="1" si="5">IF(F9="","",IF($A$23&lt;4,F9,IF($A$23&gt;12,F12,OFFSET(F$9,MATCH($A$23,$A$9:$A$13)-1,0))))</f>
        <v/>
      </c>
      <c r="G26" s="46" t="str">
        <f t="shared" ca="1" si="5"/>
        <v/>
      </c>
    </row>
    <row r="27" spans="1:7" x14ac:dyDescent="0.2">
      <c r="A27" s="46" t="s">
        <v>42</v>
      </c>
      <c r="B27" s="46" t="str">
        <f ca="1">IF(B9="","",IF($A$23&lt;4,B10,IF($A$23&gt;12,B13,OFFSET(B$9,MATCH($A$23,$A$9:$A$13),0))))</f>
        <v/>
      </c>
      <c r="C27" s="46" t="str">
        <f t="shared" ref="C27:E27" ca="1" si="6">IF(C9="","",IF($A$23&lt;4,C10,IF($A$23&gt;12,C13,OFFSET(C$9,MATCH($A$23,$A$9:$A$13),0))))</f>
        <v/>
      </c>
      <c r="D27" s="46" t="str">
        <f t="shared" ca="1" si="6"/>
        <v/>
      </c>
      <c r="E27" s="46" t="str">
        <f t="shared" ca="1" si="6"/>
        <v/>
      </c>
      <c r="F27" s="46" t="str">
        <f t="shared" ref="F27:G27" ca="1" si="7">IF(F9="","",IF($A$23&lt;4,F10,IF($A$23&gt;12,F13,OFFSET(F$9,MATCH($A$23,$A$9:$A$13),0))))</f>
        <v/>
      </c>
      <c r="G27" s="46" t="str">
        <f t="shared" ca="1" si="7"/>
        <v/>
      </c>
    </row>
    <row r="28" spans="1:7" x14ac:dyDescent="0.2">
      <c r="A28" s="46" t="s">
        <v>43</v>
      </c>
      <c r="B28" s="46" t="str">
        <f ca="1">IF(B16="","",IF($A$23&lt;4,B16,IF($A$23&gt;12,B19,OFFSET(B$16,MATCH($A$23,$A$16:$A$20)-1,0))))</f>
        <v/>
      </c>
      <c r="C28" s="46" t="str">
        <f t="shared" ref="C28:E28" ca="1" si="8">IF(C16="","",IF($A$23&lt;4,C16,IF($A$23&gt;12,C19,OFFSET(C$16,MATCH($A$23,$A$16:$A$20)-1,0))))</f>
        <v/>
      </c>
      <c r="D28" s="46" t="str">
        <f t="shared" ca="1" si="8"/>
        <v/>
      </c>
      <c r="E28" s="46" t="str">
        <f t="shared" ca="1" si="8"/>
        <v/>
      </c>
      <c r="F28" s="46" t="str">
        <f t="shared" ref="F28:G28" ca="1" si="9">IF(F16="","",IF($A$23&lt;4,F16,IF($A$23&gt;12,F19,OFFSET(F$16,MATCH($A$23,$A$16:$A$20)-1,0))))</f>
        <v/>
      </c>
      <c r="G28" s="46" t="str">
        <f t="shared" ca="1" si="9"/>
        <v/>
      </c>
    </row>
    <row r="29" spans="1:7" x14ac:dyDescent="0.2">
      <c r="A29" s="46" t="s">
        <v>44</v>
      </c>
      <c r="B29" s="46" t="str">
        <f ca="1">IF(B16="","",IF($A$23&lt;4,B17,IF($A$23&gt;12,B20,OFFSET(B$16,MATCH($A$23,$A$16:$A$20),0))))</f>
        <v/>
      </c>
      <c r="C29" s="46" t="str">
        <f t="shared" ref="C29:E29" ca="1" si="10">IF(C16="","",IF($A$23&lt;4,C17,IF($A$23&gt;12,C20,OFFSET(C$16,MATCH($A$23,$A$16:$A$20),0))))</f>
        <v/>
      </c>
      <c r="D29" s="46" t="str">
        <f t="shared" ca="1" si="10"/>
        <v/>
      </c>
      <c r="E29" s="46" t="str">
        <f t="shared" ca="1" si="10"/>
        <v/>
      </c>
      <c r="F29" s="46" t="str">
        <f t="shared" ref="F29:G29" ca="1" si="11">IF(F16="","",IF($A$23&lt;4,F17,IF($A$23&gt;12,F20,OFFSET(F$16,MATCH($A$23,$A$16:$A$20),0))))</f>
        <v/>
      </c>
      <c r="G29" s="46" t="str">
        <f t="shared" ca="1" si="11"/>
        <v/>
      </c>
    </row>
  </sheetData>
  <sheetProtection algorithmName="SHA-512" hashValue="9uN5S7s69VhQyztS1MxvzndJDVyYoiWn1bRX/7BMur4iF5dH8HjvfxgHhVPJSWrEWd7BG214Kz6IvmRgBWwyqw==" saltValue="rI7FhpMtC+4eCcPbyXuCU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B5"/>
  <sheetViews>
    <sheetView workbookViewId="0">
      <selection activeCell="C7" sqref="C7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53</v>
      </c>
    </row>
    <row r="2" spans="1:2" x14ac:dyDescent="0.25">
      <c r="A2" t="s">
        <v>54</v>
      </c>
      <c r="B2">
        <f>14.7439*(1-EXP(-0.64392*(SelectionData!$C$3/1000)))-7</f>
        <v>-3.0985394483984408E-5</v>
      </c>
    </row>
    <row r="4" spans="1:2" x14ac:dyDescent="0.25">
      <c r="A4" s="1" t="s">
        <v>55</v>
      </c>
    </row>
    <row r="5" spans="1:2" ht="18" x14ac:dyDescent="0.35">
      <c r="A5" t="s">
        <v>56</v>
      </c>
      <c r="B5">
        <f>0.38482*(1-EXP(-0.65002*(SelectionData!$C$3/1000)))+0.81607</f>
        <v>1.0000003620197635</v>
      </c>
    </row>
  </sheetData>
  <sheetProtection algorithmName="SHA-512" hashValue="3RzDpMXPBYlQfKyH8bMzRY6TXY3zUydNkyxf6SHWBnlgxlJ3pDC6IEIg6QrhIr1ZYF2WCOEnyAFCu0x+leZkvg==" saltValue="9/8Dxto2cLJvPqRYfvAn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3" ma:contentTypeDescription="Een nieuw document maken." ma:contentTypeScope="" ma:versionID="2693037b40dbc0aba88f076a90625d11">
  <xsd:schema xmlns:xsd="http://www.w3.org/2001/XMLSchema" xmlns:xs="http://www.w3.org/2001/XMLSchema" xmlns:p="http://schemas.microsoft.com/office/2006/metadata/properties" xmlns:ns2="c7f60283-def7-45c8-be52-19224b596703" xmlns:ns3="bd92be4b-0569-4231-8051-a959b5c34410" targetNamespace="http://schemas.microsoft.com/office/2006/metadata/properties" ma:root="true" ma:fieldsID="132679c65db04140e8622df00b1d8308" ns2:_="" ns3:_="">
    <xsd:import namespace="c7f60283-def7-45c8-be52-19224b596703"/>
    <xsd:import namespace="bd92be4b-0569-4231-8051-a959b5c34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573c2d-6d88-44c3-a7aa-88974e2204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be4b-0569-4231-8051-a959b5c344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9f9c21-2630-41f5-b49d-0a4762a86870}" ma:internalName="TaxCatchAll" ma:showField="CatchAllData" ma:web="bd92be4b-0569-4231-8051-a959b5c3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f60283-def7-45c8-be52-19224b596703">
      <Terms xmlns="http://schemas.microsoft.com/office/infopath/2007/PartnerControls"/>
    </lcf76f155ced4ddcb4097134ff3c332f>
    <TaxCatchAll xmlns="bd92be4b-0569-4231-8051-a959b5c34410" xsi:nil="true"/>
  </documentManagement>
</p:properties>
</file>

<file path=customXml/itemProps1.xml><?xml version="1.0" encoding="utf-8"?>
<ds:datastoreItem xmlns:ds="http://schemas.openxmlformats.org/officeDocument/2006/customXml" ds:itemID="{52E9EECD-EC6C-4DA4-936F-C59512958245}"/>
</file>

<file path=customXml/itemProps2.xml><?xml version="1.0" encoding="utf-8"?>
<ds:datastoreItem xmlns:ds="http://schemas.openxmlformats.org/officeDocument/2006/customXml" ds:itemID="{40B460A9-E973-448A-A03F-76B919891A7E}"/>
</file>

<file path=customXml/itemProps3.xml><?xml version="1.0" encoding="utf-8"?>
<ds:datastoreItem xmlns:ds="http://schemas.openxmlformats.org/officeDocument/2006/customXml" ds:itemID="{332D4321-13DD-4CA9-B4EB-84942DA90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2017-10-16T13:52:59Z</cp:lastPrinted>
  <dcterms:created xsi:type="dcterms:W3CDTF">2015-05-07T08:41:20Z</dcterms:created>
  <dcterms:modified xsi:type="dcterms:W3CDTF">2021-10-20T06:17:27Z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0x010100F4CD48654B54554390186499E0651E86</vt:lpwstr>
  </property>
</Properties>
</file>